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 not remove - Bill's\CTU\Health\Health vote\"/>
    </mc:Choice>
  </mc:AlternateContent>
  <bookViews>
    <workbookView xWindow="120" yWindow="45" windowWidth="25875" windowHeight="11325"/>
  </bookViews>
  <sheets>
    <sheet name="Health Vote 2019-20 pre-Budget" sheetId="1" r:id="rId1"/>
  </sheets>
  <externalReferences>
    <externalReference r:id="rId2"/>
  </externalReferences>
  <definedNames>
    <definedName name="_CPI10">'[1]Health Vote 2010-11'!$AF$4</definedName>
    <definedName name="_CPI12">'[1]Health Vote 2012-13'!$AJ$4</definedName>
    <definedName name="_CPI19" localSheetId="0">'Health Vote 2019-20 pre-Budget'!$AC$4</definedName>
    <definedName name="_LCI13">'[1]Health Vote 2013-14'!$AP$4</definedName>
    <definedName name="AllIndustriesWageIncr19" localSheetId="0">'Health Vote 2019-20 pre-Budget'!$AH$4</definedName>
    <definedName name="BirthGrowth10">'[1]Health Vote 2010-11'!$AG$4</definedName>
    <definedName name="BirthGrowth19" localSheetId="0">'Health Vote 2019-20 pre-Budget'!$AD$4</definedName>
    <definedName name="CapitalGoodsProportion10">'[1]Health Vote 2010-11'!$P$4</definedName>
    <definedName name="CapitalGoodsProportion19" localSheetId="0">'Health Vote 2019-20 pre-Budget'!$R$4</definedName>
    <definedName name="CapitalPI10">'[1]Health Vote 2010-11'!$Q$4</definedName>
    <definedName name="CapitalPI19" localSheetId="0">'Health Vote 2019-20 pre-Budget'!$S$4</definedName>
    <definedName name="ChildPopGrowth10">'[1]Health Vote 2010-11'!$AH$4</definedName>
    <definedName name="ChildPopGrowth19" localSheetId="0">'Health Vote 2019-20 pre-Budget'!$AE$4</definedName>
    <definedName name="CostOfSettlements1617">'[1]Notes 2016-17 pre-Budget'!$D$28</definedName>
    <definedName name="DHBFundedProportion12">'[1]Health Vote 2012-13'!$K$4</definedName>
    <definedName name="DHBFundedProportion19" localSheetId="0">'Health Vote 2019-20 pre-Budget'!$K$4</definedName>
    <definedName name="DHBFundedWageIncreases19" localSheetId="0">'Health Vote 2019-20 pre-Budget'!$J$4</definedName>
    <definedName name="DHBProviderProportion13">'[1]Health Vote 2013-14'!$AQ$4</definedName>
    <definedName name="DHBProviderProportion19" localSheetId="0">'Health Vote 2019-20 pre-Budget'!$AI$4</definedName>
    <definedName name="DHBProviderWageIncrease16">'[1]Health Vote 2016-17 pre-Budget'!$AF$4</definedName>
    <definedName name="DHBProviderWageIncrease19" localSheetId="0">'Health Vote 2019-20 pre-Budget'!$AF$4</definedName>
    <definedName name="HighMinWageSectorWageIncrease">'[1]Health Vote 2016-17 pre-Budget'!$AJ$4</definedName>
    <definedName name="LabourProportion10">'[1]Health Vote 2010-11'!$AE$4</definedName>
    <definedName name="LabourProportion19" localSheetId="0">'Health Vote 2019-20 pre-Budget'!$AB$4</definedName>
    <definedName name="MaoriPopGrowth17">'[1]Health Vote 2017-18 post-Budget'!$AS$4</definedName>
    <definedName name="MaoriPopulationGrowth18">'[1]Health Vote 2018-19 pre-Budget'!$AK$4</definedName>
    <definedName name="MaoriPopulationGrowth19" localSheetId="0">'Health Vote 2019-20 pre-Budget'!$AK$4</definedName>
    <definedName name="MedicalProportion10">'[1]Health Vote 2010-11'!$E$4</definedName>
    <definedName name="MedicalProportion19" localSheetId="0">'Health Vote 2019-20 pre-Budget'!$E$4</definedName>
    <definedName name="MedicalSalaryIncreases10">'[1]Health Vote 2010-11'!$D$4</definedName>
    <definedName name="MedicalSalaryIncreases19" localSheetId="0">'Health Vote 2019-20 pre-Budget'!$D$4</definedName>
    <definedName name="MinWageProportion">[1]Multiyear!$Q$99</definedName>
    <definedName name="NDGandProdSwitch">'[1]Health Vote 2012-13'!$C$1</definedName>
    <definedName name="NDGandProdSwitch10">'[1]Health Vote 2010-11 - post'!$C$1</definedName>
    <definedName name="NDGandProdSwitch19" localSheetId="0">'Health Vote 2019-20 pre-Budget'!$C$1</definedName>
    <definedName name="NonDemographicGrowth10">'[1]Health Vote 2010-11'!$N$4</definedName>
    <definedName name="NonDemographicGrowth19" localSheetId="0">'Health Vote 2019-20 pre-Budget'!$P$4</definedName>
    <definedName name="NonDHBWageIncreases12">'[1]Health Vote 2012-13'!$J$4</definedName>
    <definedName name="NonLabourGeneralCostIncreases10">'[1]Health Vote 2010-11'!$L$4</definedName>
    <definedName name="NonLabourGeneralCostIncreases19" localSheetId="0">'Health Vote 2019-20 pre-Budget'!$N$4</definedName>
    <definedName name="NonLabourHealthServicesCostIncrease10">'[1]Health Vote 2010-11'!$J$4</definedName>
    <definedName name="NonLabourHealthServicesCostIncrease19" localSheetId="0">'Health Vote 2019-20 pre-Budget'!$L$4</definedName>
    <definedName name="NonLabourProportion10">'[1]Health Vote 2010-11'!$K$4</definedName>
    <definedName name="NonLabourProportion19" localSheetId="0">'Health Vote 2019-20 pre-Budget'!$M$4</definedName>
    <definedName name="NonProviderPriceIndex">[1]Multiyear!$Q$98</definedName>
    <definedName name="NonProviderWageSector">[1]Multiyear!$Q$96</definedName>
    <definedName name="NursingProportion10">'[1]Health Vote 2010-11'!$G$4</definedName>
    <definedName name="NursingProportion19" localSheetId="0">'Health Vote 2019-20 pre-Budget'!$G$4</definedName>
    <definedName name="NursingSalaryIncrease">'[1]Health Vote 2010-11'!$F$4</definedName>
    <definedName name="NursingSalaryIncrease19" localSheetId="0">'Health Vote 2019-20 pre-Budget'!$F$4</definedName>
    <definedName name="OtherDHBWageIncreases19" localSheetId="0">'Health Vote 2019-20 pre-Budget'!$H$4</definedName>
    <definedName name="OtherWageIncreases10">'[1]Health Vote 2010-11'!$H$4</definedName>
    <definedName name="OtherWageProportion10">'[1]Health Vote 2010-11'!$I$4</definedName>
    <definedName name="OtherWageProportion19" localSheetId="0">'Health Vote 2019-20 pre-Budget'!$I$4</definedName>
    <definedName name="OtherWagesIncreases17">'[1]Health Vote 2017-18 pre-Budget'!$AK$4</definedName>
    <definedName name="OtherWagesIncreases19" localSheetId="0">'Health Vote 2019-20 pre-Budget'!$AJ$4</definedName>
    <definedName name="PopulationGrowth10">'[1]Health Vote 2010-11'!$M$4</definedName>
    <definedName name="PopulationGrowth19" localSheetId="0">'Health Vote 2019-20 pre-Budget'!$O$4</definedName>
    <definedName name="PriceIndexSelection">[1]Multiyear!$P$152:$P$157</definedName>
    <definedName name="ProductivityGrowth10">'[1]Health Vote 2010-11'!$O$4</definedName>
    <definedName name="ProductivityGrowth19" localSheetId="0">'Health Vote 2019-20 pre-Budget'!$Q$4</definedName>
    <definedName name="ProviderPriceIndex">[1]Multiyear!$Q$97</definedName>
    <definedName name="ProviderWageSector">[1]Multiyear!$Q$95</definedName>
    <definedName name="WageSelection">[1]Multiyear!$P$144:$P$151</definedName>
    <definedName name="ZeroAging">[1]Multiyear!$AB$124</definedName>
    <definedName name="ZeroBirths">[1]Multiyear!$AB$126</definedName>
    <definedName name="ZeroChildPop">[1]Multiyear!$AB$127</definedName>
    <definedName name="ZeroCostWeightedDemog">[1]Multiyear!$AB$125</definedName>
    <definedName name="ZeroDHBFunderArmWage">[1]Multiyear!$AB$135</definedName>
    <definedName name="ZeroDHBProviderWage">[1]Multiyear!$AB$134</definedName>
    <definedName name="ZeroMaoriPop">[1]Multiyear!$AB$128</definedName>
    <definedName name="ZeroMentalHealthClients">[1]Multiyear!$AB$129</definedName>
    <definedName name="ZeroNetInitiatives">[1]Multiyear!$AB$131</definedName>
    <definedName name="ZeroNonDHBProviderWage">[1]Multiyear!$AB$136</definedName>
    <definedName name="ZeroNonProviderPrices">[1]Multiyear!$AB$140</definedName>
    <definedName name="ZeroPop">[1]Multiyear!$AB$123</definedName>
    <definedName name="ZeroProviderPrices">[1]Multiyear!$AB$138</definedName>
    <definedName name="ZeroResidentialCarePrices">[1]Multiyear!$AB$139</definedName>
    <definedName name="ZeroWageInHighMinWageSectors">[1]Multiyear!$AB$137</definedName>
  </definedNames>
  <calcPr calcId="152511"/>
</workbook>
</file>

<file path=xl/calcChain.xml><?xml version="1.0" encoding="utf-8"?>
<calcChain xmlns="http://schemas.openxmlformats.org/spreadsheetml/2006/main">
  <c r="C105" i="1" l="1"/>
  <c r="S80" i="1"/>
  <c r="R80" i="1"/>
  <c r="U80" i="1" s="1"/>
  <c r="X80" i="1"/>
  <c r="S79" i="1"/>
  <c r="R79" i="1"/>
  <c r="U79" i="1" s="1"/>
  <c r="X79" i="1" s="1"/>
  <c r="U78" i="1"/>
  <c r="X78" i="1" s="1"/>
  <c r="S78" i="1"/>
  <c r="R78" i="1"/>
  <c r="U77" i="1"/>
  <c r="S77" i="1"/>
  <c r="R77" i="1"/>
  <c r="C81" i="1"/>
  <c r="C74" i="1"/>
  <c r="S73" i="1"/>
  <c r="R73" i="1"/>
  <c r="U73" i="1" s="1"/>
  <c r="X73" i="1" s="1"/>
  <c r="K66" i="1"/>
  <c r="J66" i="1"/>
  <c r="K65" i="1"/>
  <c r="J65" i="1"/>
  <c r="C67" i="1"/>
  <c r="X61" i="1" a="1"/>
  <c r="X61" i="1" s="1"/>
  <c r="U61" i="1"/>
  <c r="C61" i="1"/>
  <c r="W54" i="1" a="1"/>
  <c r="W54" i="1" s="1"/>
  <c r="Z53" i="1"/>
  <c r="U53" i="1"/>
  <c r="J51" i="1"/>
  <c r="K50" i="1"/>
  <c r="J50" i="1"/>
  <c r="K47" i="1"/>
  <c r="O46" i="1"/>
  <c r="J46" i="1"/>
  <c r="J45" i="1"/>
  <c r="K44" i="1"/>
  <c r="J44" i="1"/>
  <c r="F43" i="1"/>
  <c r="K42" i="1"/>
  <c r="J42" i="1"/>
  <c r="J41" i="1"/>
  <c r="K39" i="1"/>
  <c r="J39" i="1"/>
  <c r="J38" i="1"/>
  <c r="K37" i="1"/>
  <c r="J37" i="1"/>
  <c r="C54" i="1"/>
  <c r="W32" i="1" a="1"/>
  <c r="W32" i="1" s="1"/>
  <c r="C32" i="1"/>
  <c r="K8" i="1"/>
  <c r="J8" i="1"/>
  <c r="AJ4" i="1"/>
  <c r="O40" i="1"/>
  <c r="O47" i="1"/>
  <c r="K51" i="1"/>
  <c r="Q4" i="1"/>
  <c r="Q66" i="1" s="1"/>
  <c r="P4" i="1"/>
  <c r="P51" i="1" s="1"/>
  <c r="N4" i="1"/>
  <c r="N64" i="1" s="1"/>
  <c r="U64" i="1" s="1"/>
  <c r="M4" i="1"/>
  <c r="M52" i="1" s="1"/>
  <c r="L4" i="1"/>
  <c r="L32" i="1" s="1"/>
  <c r="J4" i="1"/>
  <c r="J32" i="1" s="1"/>
  <c r="H32" i="1"/>
  <c r="F32" i="1"/>
  <c r="D32" i="1"/>
  <c r="Q37" i="1" l="1"/>
  <c r="Q51" i="1"/>
  <c r="J43" i="1"/>
  <c r="P47" i="1"/>
  <c r="Q39" i="1"/>
  <c r="P42" i="1"/>
  <c r="N38" i="1"/>
  <c r="P44" i="1"/>
  <c r="P50" i="1"/>
  <c r="C83" i="1"/>
  <c r="N8" i="1"/>
  <c r="N52" i="1"/>
  <c r="M32" i="1"/>
  <c r="N40" i="1"/>
  <c r="M45" i="1"/>
  <c r="M48" i="1"/>
  <c r="M51" i="1"/>
  <c r="C57" i="1"/>
  <c r="C69" i="1" s="1"/>
  <c r="Y61" i="1"/>
  <c r="Z61" i="1"/>
  <c r="G32" i="1"/>
  <c r="G43" i="1"/>
  <c r="K4" i="1"/>
  <c r="O50" i="1"/>
  <c r="O44" i="1"/>
  <c r="O42" i="1"/>
  <c r="O51" i="1"/>
  <c r="O41" i="1"/>
  <c r="O52" i="1"/>
  <c r="O32" i="1"/>
  <c r="O49" i="1"/>
  <c r="O43" i="1"/>
  <c r="W57" i="1"/>
  <c r="W69" i="1" s="1"/>
  <c r="X77" i="1"/>
  <c r="Q8" i="1"/>
  <c r="Z36" i="1"/>
  <c r="M37" i="1"/>
  <c r="P38" i="1"/>
  <c r="M39" i="1"/>
  <c r="K41" i="1"/>
  <c r="P41" i="1"/>
  <c r="M42" i="1"/>
  <c r="Q42" i="1"/>
  <c r="P43" i="1"/>
  <c r="M44" i="1"/>
  <c r="Q44" i="1"/>
  <c r="N45" i="1"/>
  <c r="K46" i="1"/>
  <c r="P46" i="1"/>
  <c r="M47" i="1"/>
  <c r="Q47" i="1"/>
  <c r="N48" i="1"/>
  <c r="K49" i="1"/>
  <c r="P49" i="1"/>
  <c r="M50" i="1"/>
  <c r="Q50" i="1"/>
  <c r="N51" i="1"/>
  <c r="U51" i="1" s="1"/>
  <c r="X51" i="1" s="1"/>
  <c r="Z51" i="1" s="1"/>
  <c r="X64" i="1"/>
  <c r="M65" i="1"/>
  <c r="M66" i="1"/>
  <c r="X74" i="1" a="1"/>
  <c r="X74" i="1" s="1"/>
  <c r="Z74" i="1" s="1"/>
  <c r="X81" i="1" a="1"/>
  <c r="X81" i="1" s="1"/>
  <c r="U83" i="1" a="1"/>
  <c r="U83" i="1" s="1"/>
  <c r="P32" i="1"/>
  <c r="N37" i="1"/>
  <c r="K38" i="1"/>
  <c r="Q38" i="1"/>
  <c r="N39" i="1"/>
  <c r="K40" i="1"/>
  <c r="P40" i="1"/>
  <c r="M41" i="1"/>
  <c r="Q41" i="1"/>
  <c r="N42" i="1"/>
  <c r="U42" i="1" s="1"/>
  <c r="X42" i="1" s="1"/>
  <c r="Z42" i="1" s="1"/>
  <c r="D43" i="1"/>
  <c r="H43" i="1"/>
  <c r="L43" i="1"/>
  <c r="Q43" i="1"/>
  <c r="N44" i="1"/>
  <c r="P45" i="1"/>
  <c r="M46" i="1"/>
  <c r="Q46" i="1"/>
  <c r="N47" i="1"/>
  <c r="P48" i="1"/>
  <c r="M49" i="1"/>
  <c r="Q49" i="1"/>
  <c r="N50" i="1"/>
  <c r="K52" i="1"/>
  <c r="P52" i="1"/>
  <c r="N65" i="1"/>
  <c r="N66" i="1"/>
  <c r="AG4" i="1"/>
  <c r="M8" i="1"/>
  <c r="U8" i="1" s="1"/>
  <c r="Q32" i="1"/>
  <c r="P37" i="1"/>
  <c r="M38" i="1"/>
  <c r="P39" i="1"/>
  <c r="M40" i="1"/>
  <c r="Q40" i="1"/>
  <c r="N41" i="1"/>
  <c r="M43" i="1"/>
  <c r="K45" i="1"/>
  <c r="Q45" i="1"/>
  <c r="N46" i="1"/>
  <c r="K48" i="1"/>
  <c r="Q48" i="1"/>
  <c r="N49" i="1"/>
  <c r="Q52" i="1"/>
  <c r="Q65" i="1"/>
  <c r="U39" i="1" l="1"/>
  <c r="X39" i="1" s="1"/>
  <c r="Z39" i="1" s="1"/>
  <c r="U66" i="1"/>
  <c r="X66" i="1" s="1"/>
  <c r="U65" i="1"/>
  <c r="U37" i="1"/>
  <c r="X37" i="1" s="1"/>
  <c r="U46" i="1"/>
  <c r="X46" i="1" s="1"/>
  <c r="Z46" i="1" s="1"/>
  <c r="U41" i="1"/>
  <c r="X41" i="1" s="1"/>
  <c r="Z41" i="1" s="1"/>
  <c r="U50" i="1"/>
  <c r="X50" i="1" s="1"/>
  <c r="Z50" i="1" s="1"/>
  <c r="U44" i="1"/>
  <c r="X44" i="1" s="1"/>
  <c r="Z44" i="1" s="1"/>
  <c r="X8" i="1"/>
  <c r="Y8" i="1" s="1"/>
  <c r="Z8" i="1" s="1"/>
  <c r="U67" i="1" a="1"/>
  <c r="U67" i="1" s="1"/>
  <c r="X67" i="1" a="1"/>
  <c r="X67" i="1" s="1"/>
  <c r="X65" i="1"/>
  <c r="U38" i="1"/>
  <c r="X38" i="1" s="1"/>
  <c r="Z38" i="1" s="1"/>
  <c r="X83" i="1"/>
  <c r="Y83" i="1" s="1"/>
  <c r="Z81" i="1"/>
  <c r="Z83" i="1" s="1"/>
  <c r="I43" i="1"/>
  <c r="I32" i="1"/>
  <c r="K32" i="1"/>
  <c r="K43" i="1"/>
  <c r="U45" i="1"/>
  <c r="X45" i="1" s="1"/>
  <c r="Z45" i="1" s="1"/>
  <c r="C85" i="1"/>
  <c r="E43" i="1"/>
  <c r="AF4" i="1"/>
  <c r="E32" i="1"/>
  <c r="U43" i="1" l="1"/>
  <c r="X43" i="1" s="1"/>
  <c r="Z43" i="1" s="1"/>
  <c r="U32" i="1"/>
  <c r="J47" i="1"/>
  <c r="U47" i="1" s="1"/>
  <c r="X47" i="1" s="1"/>
  <c r="Z47" i="1" s="1"/>
  <c r="J49" i="1"/>
  <c r="U49" i="1" s="1"/>
  <c r="X49" i="1" s="1"/>
  <c r="Z49" i="1" s="1"/>
  <c r="J48" i="1"/>
  <c r="U48" i="1" s="1"/>
  <c r="X48" i="1" s="1"/>
  <c r="Z48" i="1" s="1"/>
  <c r="J52" i="1"/>
  <c r="U52" i="1" s="1"/>
  <c r="X52" i="1" s="1"/>
  <c r="Z52" i="1" s="1"/>
  <c r="J40" i="1"/>
  <c r="U40" i="1" s="1"/>
  <c r="X40" i="1" s="1"/>
  <c r="Z40" i="1" s="1"/>
  <c r="X32" i="1"/>
  <c r="Y67" i="1"/>
  <c r="Z67" i="1"/>
  <c r="Z37" i="1"/>
  <c r="U54" i="1" a="1"/>
  <c r="U57" i="1" l="1" a="1"/>
  <c r="U57" i="1" s="1"/>
  <c r="U69" i="1" s="1"/>
  <c r="U85" i="1" s="1"/>
  <c r="U54" i="1"/>
  <c r="X33" i="1"/>
  <c r="X34" i="1" s="1"/>
  <c r="Z32" i="1"/>
  <c r="Z33" i="1" s="1"/>
  <c r="X54" i="1"/>
  <c r="X57" i="1" s="1"/>
  <c r="X58" i="1" l="1"/>
  <c r="Y57" i="1"/>
  <c r="Y69" i="1" s="1"/>
  <c r="Y85" i="1" s="1"/>
  <c r="Z57" i="1"/>
  <c r="X69" i="1"/>
  <c r="X70" i="1" s="1"/>
  <c r="X71" i="1" s="1"/>
  <c r="Z71" i="1" s="1"/>
  <c r="X55" i="1"/>
  <c r="X56" i="1" s="1"/>
  <c r="Z56" i="1" s="1"/>
  <c r="Z54" i="1"/>
  <c r="Z55" i="1" s="1"/>
  <c r="Y54" i="1"/>
  <c r="Z58" i="1" l="1"/>
  <c r="Z69" i="1"/>
  <c r="Z70" i="1" l="1"/>
  <c r="B1" i="1"/>
  <c r="Z85" i="1"/>
  <c r="B5" i="1" l="1"/>
  <c r="B2" i="1"/>
  <c r="B3" i="1"/>
</calcChain>
</file>

<file path=xl/comments1.xml><?xml version="1.0" encoding="utf-8"?>
<comments xmlns="http://schemas.openxmlformats.org/spreadsheetml/2006/main">
  <authors>
    <author>Bill Rosenberg</author>
    <author>Bill</author>
    <author>WJ Rosenberg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0 to include non-demographic growth and productivity increase
1 to exclude them</t>
        </r>
      </text>
    </comment>
    <comment ref="D4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Based on increase due to estimated costs of settlements with static staffing.
</t>
        </r>
      </text>
    </comment>
    <comment ref="E4" authorId="2" shapeId="0">
      <text>
        <r>
          <rPr>
            <sz val="8"/>
            <color indexed="81"/>
            <rFont val="Tahoma"/>
            <family val="2"/>
          </rPr>
          <t xml:space="preserve">
Estimated from DHB consolidated accounts for year to December 2018.</t>
        </r>
      </text>
    </comment>
    <comment ref="F4" authorId="0" shapeId="0">
      <text>
        <r>
          <rPr>
            <sz val="9"/>
            <color indexed="81"/>
            <rFont val="Tahoma"/>
            <family val="2"/>
          </rPr>
          <t xml:space="preserve">Increase calculated from estimated cost of settlement with static staffing.
</t>
        </r>
        <r>
          <rPr>
            <sz val="9"/>
            <color indexed="81"/>
            <rFont val="Tahoma"/>
            <family val="2"/>
          </rPr>
          <t>Excludes any effect of Equal Pay settlement</t>
        </r>
      </text>
    </comment>
    <comment ref="G4" authorId="2" shapeId="0">
      <text>
        <r>
          <rPr>
            <sz val="8"/>
            <color indexed="81"/>
            <rFont val="Tahoma"/>
            <family val="2"/>
          </rPr>
          <t xml:space="preserve">
Estimated from DHB consolidated accounts for year to December 2018. 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 xml:space="preserve">Increase calculated from estimated cost of settlement with static staffing.
</t>
        </r>
      </text>
    </comment>
    <comment ref="I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From DHB consolidated accounts for year to December 2018. </t>
        </r>
      </text>
    </comment>
    <comment ref="J4" authorId="1" shapeId="0">
      <text>
        <r>
          <rPr>
            <sz val="9"/>
            <color indexed="81"/>
            <rFont val="Tahoma"/>
            <family val="2"/>
          </rPr>
          <t>Estimate average wage increase. No increase for Care and Support and Mental Health Workers this year as part of the Pay Equity settlement.</t>
        </r>
      </text>
    </comment>
    <comment ref="L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Like health sector, assume CPI.</t>
        </r>
      </text>
    </comment>
    <comment ref="N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Assume CPI</t>
        </r>
      </text>
    </comment>
    <comment ref="O4" authorId="2" shapeId="0">
      <text>
        <r>
          <rPr>
            <sz val="8"/>
            <color indexed="81"/>
            <rFont val="Tahoma"/>
            <family val="2"/>
          </rPr>
          <t>Calculated rom data provided by Ministry of Health</t>
        </r>
      </text>
    </comment>
    <comment ref="P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This was originally modelled on Treasury:Health Projections and Policy Options: Background paper for the 2013 statement on the long term fiscal position”, July 2013, p.20
A different approach is used in the 2016 long term fiscal position.
In place of this, non-demographic growth is accounted for by new initiatives announced by the Govt. </t>
        </r>
      </text>
    </comment>
    <comment ref="Q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This was originally modelled on Treasury:Health Projections and Policy Options: Background paper for the 2013 statement on the long term fiscal position”, where it assumed 0.3% long term labour productivity growth in Health.
A different approach is used in the 2016 long term fiscal position.
This is not used here.  </t>
        </r>
      </text>
    </comment>
    <comment ref="S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Capital Goods price index in year to December 2018 rose 2.6%  </t>
        </r>
      </text>
    </comment>
    <comment ref="AB4" authorId="2" shapeId="0">
      <text>
        <r>
          <rPr>
            <sz val="8"/>
            <color indexed="81"/>
            <rFont val="Tahoma"/>
            <family val="2"/>
          </rPr>
          <t xml:space="preserve">
From Consolidated DHB Provider Arm Accounts for the year to January 2019. (It was 62.7%  in the audited accounts to June 2018.) Assume it also applies to funded organisations and Ministry.</t>
        </r>
      </text>
    </comment>
    <comment ref="AC4" authorId="2" shapeId="0">
      <text>
        <r>
          <rPr>
            <sz val="8"/>
            <color indexed="81"/>
            <rFont val="Tahoma"/>
            <family val="2"/>
          </rPr>
          <t xml:space="preserve">Treasury HYEFU 2018 forecasts 2.0% in year to June 2020.
RBNZ forecast for year to June 2019 is 1.9% (May 2019 MPS)
NZIER consensus forecast mean, published March 2018, is 1.9% for the year to March 2020.  
</t>
        </r>
      </text>
    </comment>
    <comment ref="AD4" authorId="2" shapeId="0">
      <text>
        <r>
          <rPr>
            <sz val="8"/>
            <color indexed="81"/>
            <rFont val="Tahoma"/>
            <family val="2"/>
          </rPr>
          <t>Ministry of Health projection for 2019/20</t>
        </r>
      </text>
    </comment>
    <comment ref="AE4" authorId="2" shapeId="0">
      <text>
        <r>
          <rPr>
            <sz val="8"/>
            <color indexed="81"/>
            <rFont val="Tahoma"/>
            <family val="2"/>
          </rPr>
          <t xml:space="preserve">Ministry of Health projections for 0-19 year olds for 2019/20
</t>
        </r>
      </text>
    </comment>
    <comment ref="AH4" authorId="1" shapeId="0">
      <text>
        <r>
          <rPr>
            <sz val="9"/>
            <color indexed="81"/>
            <rFont val="Tahoma"/>
            <family val="2"/>
          </rPr>
          <t xml:space="preserve">
Treasury HYEFU 2018 forecasts average ordinary time hourly wage to rise 3.3% in year to June 2020.
RBNZ in May MPS forecast Av  hourly earnings for the private sector, seasonally adjusted, to rise 2.7% in year to June 2020.
Actual in year to March 2019 was 3.4%.
NZIER March 2019 Consensus forecasts are for private sector average hourly earnings to rise 3.3% in year to March 2020</t>
        </r>
      </text>
    </comment>
    <comment ref="AI4" authorId="1" shapeId="0">
      <text>
        <r>
          <rPr>
            <sz val="9"/>
            <color indexed="81"/>
            <rFont val="Tahoma"/>
            <family val="2"/>
          </rPr>
          <t xml:space="preserve">
Approximate from DHB consolidated accounts  to January 2019. (For audited accounts to June 2018 it was 56.5%)</t>
        </r>
      </text>
    </comment>
    <comment ref="X36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Assumes this was a limited term project which will not continue.</t>
        </r>
      </text>
    </comment>
    <comment ref="X53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From profile of funding for Care and Support settlement  plus estimate of additional cost of Mental health and addiction support workers' settlement</t>
        </r>
      </text>
    </comment>
  </commentList>
</comments>
</file>

<file path=xl/sharedStrings.xml><?xml version="1.0" encoding="utf-8"?>
<sst xmlns="http://schemas.openxmlformats.org/spreadsheetml/2006/main" count="146" uniqueCount="110">
  <si>
    <t>Summary: additional operational funding required</t>
  </si>
  <si>
    <t>For 2019/20</t>
  </si>
  <si>
    <t>2018/19</t>
  </si>
  <si>
    <t>Medical salary increases</t>
  </si>
  <si>
    <t>Medical proportion of DHB provider expenses</t>
  </si>
  <si>
    <t>Nursing salary increases</t>
  </si>
  <si>
    <t>Nursing proportion of DHB provider expenses</t>
  </si>
  <si>
    <t>Other Wage  increases - DHB Provider</t>
  </si>
  <si>
    <t>Other Wage proportion of DHB provider expenses</t>
  </si>
  <si>
    <t>Wage  increases in DHB funded services</t>
  </si>
  <si>
    <t>Other Wage proportion of DHB funded activities expenses</t>
  </si>
  <si>
    <t>Non-labour health services cost increases</t>
  </si>
  <si>
    <t>Non-labour proportion</t>
  </si>
  <si>
    <t>Non-labour general cost increases</t>
  </si>
  <si>
    <t>Population growth, including ageing effect</t>
  </si>
  <si>
    <t>Non-demographic growth</t>
  </si>
  <si>
    <t>Productivity growth</t>
  </si>
  <si>
    <t>Capital Goods proportion</t>
  </si>
  <si>
    <t>Capital Goods price increase</t>
  </si>
  <si>
    <t>Total increases</t>
  </si>
  <si>
    <t>Additional costs identified for 2019/20</t>
  </si>
  <si>
    <t>Required</t>
  </si>
  <si>
    <t>Totals</t>
  </si>
  <si>
    <t>Increase Required</t>
  </si>
  <si>
    <t>Labour  proportion of expenditure</t>
  </si>
  <si>
    <t>CPI</t>
  </si>
  <si>
    <t>Increase in births</t>
  </si>
  <si>
    <t>Child popn growth (0 - 19 yrs old)</t>
  </si>
  <si>
    <t>DHB provider wage increase</t>
  </si>
  <si>
    <t>Total wage increase</t>
  </si>
  <si>
    <t>Forecast All Industries Average Wage increase</t>
  </si>
  <si>
    <t>Provider proportion of DHB expenses in appropriation</t>
  </si>
  <si>
    <t>Other wages increases</t>
  </si>
  <si>
    <t>Cost-weighted Maori population growth</t>
  </si>
  <si>
    <t>Without 'new policy initiatives' and 'savings'</t>
  </si>
  <si>
    <t>$000</t>
  </si>
  <si>
    <t>%</t>
  </si>
  <si>
    <t>For sensitivity testing</t>
  </si>
  <si>
    <t>Parameters:</t>
  </si>
  <si>
    <t>Department operating appropriations</t>
  </si>
  <si>
    <t>Non-Departmental Output Expenses</t>
  </si>
  <si>
    <t>DHBs</t>
  </si>
  <si>
    <t>Auckland</t>
  </si>
  <si>
    <t>Bay of Plenty</t>
  </si>
  <si>
    <t>Canterbury</t>
  </si>
  <si>
    <t>Capital and Coast</t>
  </si>
  <si>
    <t>Counties-Manukau</t>
  </si>
  <si>
    <t>Hawkes Bay</t>
  </si>
  <si>
    <t>Hutt</t>
  </si>
  <si>
    <t>Lakes</t>
  </si>
  <si>
    <t>MidCentral</t>
  </si>
  <si>
    <t>Nelson-Marlborough</t>
  </si>
  <si>
    <t>Northland</t>
  </si>
  <si>
    <t>South Canterbury</t>
  </si>
  <si>
    <t>Southern</t>
  </si>
  <si>
    <t>Tairawhiti</t>
  </si>
  <si>
    <t>Taranaki</t>
  </si>
  <si>
    <t>Waikato</t>
  </si>
  <si>
    <t>Wairarapa</t>
  </si>
  <si>
    <t>Waitemata</t>
  </si>
  <si>
    <t>West Coast</t>
  </si>
  <si>
    <t>Whanganui</t>
  </si>
  <si>
    <t>Total DHBs</t>
  </si>
  <si>
    <t>Without additional costs</t>
  </si>
  <si>
    <t>Increase</t>
  </si>
  <si>
    <t>Auckland Health Projects Integrated Investment Plan</t>
  </si>
  <si>
    <t>Health Sector Projects Operating Expenses</t>
  </si>
  <si>
    <t>Health Workforce Training and Development</t>
  </si>
  <si>
    <t>Monitoring and Protecting Health and Disability Consumer Interests</t>
  </si>
  <si>
    <t>National Child Health Services</t>
  </si>
  <si>
    <t>National Contracted Services - Other</t>
  </si>
  <si>
    <t>National Disability Support Services</t>
  </si>
  <si>
    <t>National Elective Services</t>
  </si>
  <si>
    <t>National Emergency Services</t>
  </si>
  <si>
    <t xml:space="preserve">National Health Information Systems </t>
  </si>
  <si>
    <t>National Māori Health Services</t>
  </si>
  <si>
    <t>National Maternity Services</t>
  </si>
  <si>
    <t>National Mental Health Services</t>
  </si>
  <si>
    <t>National Personal Health Services</t>
  </si>
  <si>
    <t>Primary Health Care Strategy</t>
  </si>
  <si>
    <t>Problem Gambling Services</t>
  </si>
  <si>
    <t>Public Health Service Purchasing</t>
  </si>
  <si>
    <t>Supporting Equitable Pay for Care and Support Workers</t>
  </si>
  <si>
    <t>Total non-DHB</t>
  </si>
  <si>
    <t>Total Non-Departmental Output Expenses</t>
  </si>
  <si>
    <t>Departmental Other Expenses</t>
  </si>
  <si>
    <t>Total Departmental Other Expenses</t>
  </si>
  <si>
    <t>Non-Departmental Other Expenses</t>
  </si>
  <si>
    <t>International Health Organisations</t>
  </si>
  <si>
    <t>Legal Expenses</t>
  </si>
  <si>
    <t>Provider Development</t>
  </si>
  <si>
    <t>Total Non-Departmental Other Expenses</t>
  </si>
  <si>
    <t>Total Operational Expenses</t>
  </si>
  <si>
    <t>or</t>
  </si>
  <si>
    <t>Departmental Capital Expenditure</t>
  </si>
  <si>
    <t>Ministry of Health - Capital Expenditure PLA</t>
  </si>
  <si>
    <t>Total Departmental Capital Expenditure</t>
  </si>
  <si>
    <t>Non-Departmental Capital Expenditure</t>
  </si>
  <si>
    <t>Equity for Capital Projects for DHBs and Health Sector Crown Agencies</t>
  </si>
  <si>
    <t>Health Sector Projects</t>
  </si>
  <si>
    <t>Residential Care Loans</t>
  </si>
  <si>
    <t>Deficit Support for DHBs</t>
  </si>
  <si>
    <t>Total Non-Departmental Capital Expenditure</t>
  </si>
  <si>
    <t>Total Capital Expenditure</t>
  </si>
  <si>
    <t>Total Annual and Permanent Appropriations</t>
  </si>
  <si>
    <t>Appropriations</t>
  </si>
  <si>
    <t>$000 - 2019/20</t>
  </si>
  <si>
    <t>$000 - four years</t>
  </si>
  <si>
    <t xml:space="preserve">Additional staffing for immediate needs and CCDM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</si>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</sst>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as proportion of operating allowance of&quot;\ &quot;$&quot;0.0&quot;b&quot;"/>
    <numFmt numFmtId="166" formatCode="0.0%"/>
    <numFmt numFmtId="167" formatCode="_-* #,##0_-;\-* #,##0_-;_-* &quot;-&quot;??_-;_-@_-"/>
    <numFmt numFmtId="168" formatCode="#,##0.0000"/>
    <numFmt numFmtId="169" formatCode="_(* #,##0.00_);_(* \(#,##0.0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color theme="1"/>
      <name val="Arial Mäori"/>
      <family val="2"/>
    </font>
    <font>
      <sz val="10"/>
      <color theme="1"/>
      <name val="Arial"/>
      <family val="2"/>
    </font>
    <font>
      <sz val="11"/>
      <color theme="1"/>
      <name val="Arial Mäo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5" applyNumberFormat="0" applyAlignment="0" applyProtection="0"/>
    <xf numFmtId="0" fontId="15" fillId="21" borderId="6" applyNumberFormat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5" applyNumberFormat="0" applyAlignment="0" applyProtection="0"/>
    <xf numFmtId="0" fontId="26" fillId="0" borderId="10" applyNumberFormat="0" applyFill="0" applyAlignment="0" applyProtection="0"/>
    <xf numFmtId="0" fontId="27" fillId="22" borderId="0" applyNumberFormat="0" applyBorder="0" applyAlignment="0" applyProtection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1" fillId="23" borderId="11" applyNumberFormat="0" applyFont="0" applyAlignment="0" applyProtection="0"/>
    <xf numFmtId="0" fontId="31" fillId="20" borderId="12" applyNumberFormat="0" applyAlignment="0" applyProtection="0"/>
    <xf numFmtId="9" fontId="2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164" fontId="4" fillId="0" borderId="0" xfId="2" applyNumberFormat="1" applyFont="1"/>
    <xf numFmtId="0" fontId="5" fillId="0" borderId="0" xfId="0" applyFont="1" applyBorder="1" applyAlignment="1">
      <alignment horizontal="center"/>
    </xf>
    <xf numFmtId="165" fontId="4" fillId="0" borderId="0" xfId="0" applyNumberFormat="1" applyFont="1" applyAlignment="1">
      <alignment horizontal="left" vertical="top"/>
    </xf>
    <xf numFmtId="166" fontId="4" fillId="0" borderId="0" xfId="3" applyNumberFormat="1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center"/>
    </xf>
    <xf numFmtId="166" fontId="3" fillId="0" borderId="2" xfId="0" applyNumberFormat="1" applyFont="1" applyFill="1" applyBorder="1" applyAlignment="1">
      <alignment horizontal="center"/>
    </xf>
    <xf numFmtId="10" fontId="3" fillId="0" borderId="2" xfId="0" applyNumberFormat="1" applyFont="1" applyFill="1" applyBorder="1" applyAlignment="1">
      <alignment horizontal="center"/>
    </xf>
    <xf numFmtId="10" fontId="0" fillId="0" borderId="0" xfId="0" applyNumberFormat="1" applyFill="1"/>
    <xf numFmtId="0" fontId="0" fillId="0" borderId="0" xfId="0" applyFill="1"/>
    <xf numFmtId="6" fontId="0" fillId="0" borderId="0" xfId="0" applyNumberFormat="1" applyFill="1"/>
    <xf numFmtId="166" fontId="3" fillId="0" borderId="0" xfId="3" applyNumberFormat="1" applyFont="1" applyFill="1" applyBorder="1" applyAlignment="1">
      <alignment horizontal="center"/>
    </xf>
    <xf numFmtId="164" fontId="0" fillId="0" borderId="0" xfId="0" applyNumberFormat="1" applyFill="1"/>
    <xf numFmtId="49" fontId="3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left"/>
    </xf>
    <xf numFmtId="166" fontId="4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center"/>
    </xf>
    <xf numFmtId="10" fontId="3" fillId="0" borderId="0" xfId="0" applyNumberFormat="1" applyFont="1" applyFill="1" applyBorder="1" applyAlignment="1">
      <alignment horizontal="center"/>
    </xf>
    <xf numFmtId="10" fontId="0" fillId="0" borderId="0" xfId="0" applyNumberFormat="1"/>
    <xf numFmtId="0" fontId="0" fillId="0" borderId="0" xfId="0" applyFill="1" applyBorder="1"/>
    <xf numFmtId="10" fontId="1" fillId="0" borderId="0" xfId="3" applyNumberFormat="1" applyFont="1" applyBorder="1"/>
    <xf numFmtId="3" fontId="3" fillId="0" borderId="0" xfId="0" applyNumberFormat="1" applyFont="1"/>
    <xf numFmtId="166" fontId="0" fillId="0" borderId="0" xfId="0" applyNumberFormat="1"/>
    <xf numFmtId="166" fontId="0" fillId="0" borderId="0" xfId="0" applyNumberFormat="1" applyFont="1"/>
    <xf numFmtId="3" fontId="0" fillId="0" borderId="0" xfId="0" applyNumberFormat="1" applyFont="1"/>
    <xf numFmtId="3" fontId="4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0" xfId="0" applyNumberFormat="1" applyBorder="1"/>
    <xf numFmtId="0" fontId="0" fillId="0" borderId="0" xfId="0" applyAlignment="1">
      <alignment horizontal="left" indent="1"/>
    </xf>
    <xf numFmtId="3" fontId="0" fillId="0" borderId="0" xfId="0" applyNumberFormat="1" applyFont="1" applyBorder="1"/>
    <xf numFmtId="0" fontId="0" fillId="0" borderId="0" xfId="0" applyAlignment="1">
      <alignment horizontal="left" indent="2"/>
    </xf>
    <xf numFmtId="167" fontId="1" fillId="0" borderId="0" xfId="1" applyNumberFormat="1" applyFont="1" applyBorder="1"/>
    <xf numFmtId="166" fontId="0" fillId="0" borderId="0" xfId="0" applyNumberFormat="1" applyBorder="1"/>
    <xf numFmtId="0" fontId="0" fillId="0" borderId="1" xfId="0" applyBorder="1" applyAlignment="1">
      <alignment horizontal="left" indent="2"/>
    </xf>
    <xf numFmtId="3" fontId="0" fillId="0" borderId="1" xfId="0" applyNumberFormat="1" applyBorder="1"/>
    <xf numFmtId="166" fontId="0" fillId="0" borderId="1" xfId="0" applyNumberFormat="1" applyBorder="1"/>
    <xf numFmtId="166" fontId="0" fillId="0" borderId="1" xfId="0" applyNumberFormat="1" applyFont="1" applyBorder="1"/>
    <xf numFmtId="3" fontId="0" fillId="0" borderId="1" xfId="0" applyNumberFormat="1" applyFont="1" applyBorder="1"/>
    <xf numFmtId="3" fontId="0" fillId="0" borderId="1" xfId="0" applyNumberFormat="1" applyFont="1" applyFill="1" applyBorder="1"/>
    <xf numFmtId="3" fontId="0" fillId="0" borderId="0" xfId="0" applyNumberFormat="1" applyFont="1" applyFill="1" applyBorder="1"/>
    <xf numFmtId="0" fontId="3" fillId="0" borderId="0" xfId="0" applyFont="1" applyAlignment="1">
      <alignment horizontal="left" indent="2"/>
    </xf>
    <xf numFmtId="166" fontId="3" fillId="0" borderId="0" xfId="0" applyNumberFormat="1" applyFont="1"/>
    <xf numFmtId="10" fontId="3" fillId="0" borderId="0" xfId="0" applyNumberFormat="1" applyFont="1"/>
    <xf numFmtId="3" fontId="3" fillId="0" borderId="0" xfId="0" applyNumberFormat="1" applyFont="1" applyFill="1"/>
    <xf numFmtId="10" fontId="0" fillId="0" borderId="0" xfId="0" applyNumberFormat="1" applyFont="1"/>
    <xf numFmtId="10" fontId="4" fillId="0" borderId="0" xfId="0" applyNumberFormat="1" applyFont="1" applyAlignment="1">
      <alignment horizontal="center"/>
    </xf>
    <xf numFmtId="3" fontId="4" fillId="0" borderId="0" xfId="0" applyNumberFormat="1" applyFont="1"/>
    <xf numFmtId="10" fontId="1" fillId="0" borderId="0" xfId="3" applyNumberFormat="1" applyFont="1"/>
    <xf numFmtId="10" fontId="4" fillId="0" borderId="0" xfId="0" applyNumberFormat="1" applyFont="1" applyAlignment="1">
      <alignment horizontal="left"/>
    </xf>
    <xf numFmtId="166" fontId="0" fillId="0" borderId="0" xfId="0" applyNumberFormat="1" applyFill="1"/>
    <xf numFmtId="0" fontId="0" fillId="0" borderId="0" xfId="0" applyBorder="1" applyAlignment="1">
      <alignment horizontal="left" indent="1"/>
    </xf>
    <xf numFmtId="166" fontId="0" fillId="0" borderId="0" xfId="0" applyNumberFormat="1" applyFill="1" applyBorder="1"/>
    <xf numFmtId="166" fontId="0" fillId="0" borderId="0" xfId="0" applyNumberFormat="1" applyFont="1" applyBorder="1"/>
    <xf numFmtId="0" fontId="0" fillId="0" borderId="1" xfId="0" applyBorder="1" applyAlignment="1">
      <alignment horizontal="left" indent="1"/>
    </xf>
    <xf numFmtId="3" fontId="3" fillId="0" borderId="1" xfId="0" applyNumberFormat="1" applyFont="1" applyBorder="1"/>
    <xf numFmtId="0" fontId="3" fillId="0" borderId="0" xfId="0" applyFont="1" applyAlignment="1">
      <alignment horizontal="left" indent="1"/>
    </xf>
    <xf numFmtId="166" fontId="3" fillId="0" borderId="0" xfId="0" applyNumberFormat="1" applyFont="1" applyBorder="1"/>
    <xf numFmtId="10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left"/>
    </xf>
    <xf numFmtId="10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10" fontId="1" fillId="0" borderId="1" xfId="3" applyNumberFormat="1" applyFont="1" applyBorder="1"/>
    <xf numFmtId="0" fontId="3" fillId="0" borderId="2" xfId="0" applyFont="1" applyBorder="1"/>
    <xf numFmtId="3" fontId="3" fillId="0" borderId="2" xfId="0" applyNumberFormat="1" applyFont="1" applyBorder="1"/>
    <xf numFmtId="3" fontId="3" fillId="0" borderId="0" xfId="0" applyNumberFormat="1" applyFont="1" applyBorder="1"/>
    <xf numFmtId="166" fontId="3" fillId="0" borderId="2" xfId="0" applyNumberFormat="1" applyFont="1" applyBorder="1"/>
    <xf numFmtId="0" fontId="3" fillId="0" borderId="0" xfId="0" applyFont="1" applyBorder="1"/>
    <xf numFmtId="0" fontId="3" fillId="0" borderId="3" xfId="0" applyFont="1" applyBorder="1"/>
    <xf numFmtId="3" fontId="3" fillId="0" borderId="3" xfId="0" applyNumberFormat="1" applyFont="1" applyBorder="1"/>
    <xf numFmtId="10" fontId="0" fillId="0" borderId="3" xfId="0" applyNumberFormat="1" applyBorder="1"/>
    <xf numFmtId="166" fontId="0" fillId="0" borderId="3" xfId="0" applyNumberFormat="1" applyBorder="1"/>
    <xf numFmtId="166" fontId="3" fillId="0" borderId="3" xfId="0" applyNumberFormat="1" applyFont="1" applyBorder="1"/>
    <xf numFmtId="3" fontId="3" fillId="0" borderId="3" xfId="0" applyNumberFormat="1" applyFont="1" applyFill="1" applyBorder="1"/>
    <xf numFmtId="168" fontId="3" fillId="0" borderId="0" xfId="0" applyNumberFormat="1" applyFont="1" applyFill="1" applyBorder="1"/>
    <xf numFmtId="166" fontId="4" fillId="0" borderId="0" xfId="0" applyNumberFormat="1" applyFont="1"/>
    <xf numFmtId="0" fontId="0" fillId="0" borderId="0" xfId="0" applyFont="1"/>
    <xf numFmtId="0" fontId="0" fillId="0" borderId="3" xfId="0" applyBorder="1"/>
    <xf numFmtId="0" fontId="3" fillId="0" borderId="4" xfId="0" applyFont="1" applyBorder="1"/>
    <xf numFmtId="3" fontId="3" fillId="0" borderId="4" xfId="0" applyNumberFormat="1" applyFont="1" applyBorder="1"/>
    <xf numFmtId="10" fontId="0" fillId="0" borderId="4" xfId="0" applyNumberFormat="1" applyBorder="1"/>
    <xf numFmtId="166" fontId="0" fillId="0" borderId="4" xfId="0" applyNumberFormat="1" applyBorder="1"/>
    <xf numFmtId="166" fontId="3" fillId="0" borderId="4" xfId="0" applyNumberFormat="1" applyFont="1" applyBorder="1"/>
    <xf numFmtId="0" fontId="0" fillId="0" borderId="4" xfId="0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/>
    <xf numFmtId="3" fontId="0" fillId="0" borderId="0" xfId="0" applyNumberFormat="1" applyFont="1" applyFill="1"/>
    <xf numFmtId="0" fontId="6" fillId="0" borderId="0" xfId="4" applyFill="1" applyAlignment="1" applyProtection="1"/>
    <xf numFmtId="2" fontId="0" fillId="0" borderId="0" xfId="0" applyNumberFormat="1"/>
    <xf numFmtId="0" fontId="6" fillId="0" borderId="0" xfId="4" applyAlignment="1" applyProtection="1"/>
    <xf numFmtId="0" fontId="3" fillId="0" borderId="2" xfId="0" applyFont="1" applyFill="1" applyBorder="1"/>
    <xf numFmtId="3" fontId="3" fillId="0" borderId="2" xfId="0" applyNumberFormat="1" applyFont="1" applyFill="1" applyBorder="1"/>
    <xf numFmtId="0" fontId="5" fillId="0" borderId="1" xfId="0" applyFont="1" applyBorder="1" applyAlignment="1">
      <alignment horizontal="center"/>
    </xf>
  </cellXfs>
  <cellStyles count="103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Comma 3" xfId="34"/>
    <cellStyle name="Comma 3 2" xfId="35"/>
    <cellStyle name="Currency" xfId="2" builtinId="4"/>
    <cellStyle name="Currency 2" xfId="36"/>
    <cellStyle name="Explanatory Text 2" xfId="37"/>
    <cellStyle name="Good 2" xfId="38"/>
    <cellStyle name="Heading 1 2" xfId="39"/>
    <cellStyle name="Heading 2 2" xfId="40"/>
    <cellStyle name="Heading 3 2" xfId="41"/>
    <cellStyle name="Heading 4 2" xfId="42"/>
    <cellStyle name="Hyperlink" xfId="4" builtinId="8"/>
    <cellStyle name="Hyperlink 2" xfId="43"/>
    <cellStyle name="Hyperlink 3" xfId="44"/>
    <cellStyle name="Hyperlink 4" xfId="45"/>
    <cellStyle name="Input 2" xfId="46"/>
    <cellStyle name="Linked Cell 2" xfId="47"/>
    <cellStyle name="Neutral 2" xfId="48"/>
    <cellStyle name="Normal" xfId="0" builtinId="0"/>
    <cellStyle name="Normal 10" xfId="49"/>
    <cellStyle name="Normal 11" xfId="50"/>
    <cellStyle name="Normal 11 2" xfId="51"/>
    <cellStyle name="Normal 12" xfId="52"/>
    <cellStyle name="Normal 12 2" xfId="53"/>
    <cellStyle name="Normal 13" xfId="54"/>
    <cellStyle name="Normal 13 2" xfId="55"/>
    <cellStyle name="Normal 14" xfId="56"/>
    <cellStyle name="Normal 15" xfId="57"/>
    <cellStyle name="Normal 16" xfId="58"/>
    <cellStyle name="Normal 17" xfId="59"/>
    <cellStyle name="Normal 2" xfId="60"/>
    <cellStyle name="Normal 2 2" xfId="61"/>
    <cellStyle name="Normal 2 2 2" xfId="62"/>
    <cellStyle name="Normal 2 3" xfId="63"/>
    <cellStyle name="Normal 2 4" xfId="64"/>
    <cellStyle name="Normal 2 5" xfId="65"/>
    <cellStyle name="Normal 3" xfId="66"/>
    <cellStyle name="Normal 3 2" xfId="67"/>
    <cellStyle name="Normal 3 2 2" xfId="68"/>
    <cellStyle name="Normal 3 2 3" xfId="69"/>
    <cellStyle name="Normal 3 3" xfId="70"/>
    <cellStyle name="Normal 3 3 2" xfId="71"/>
    <cellStyle name="Normal 32" xfId="72"/>
    <cellStyle name="Normal 4" xfId="73"/>
    <cellStyle name="Normal 4 2" xfId="74"/>
    <cellStyle name="Normal 4 3" xfId="75"/>
    <cellStyle name="Normal 5" xfId="76"/>
    <cellStyle name="Normal 5 2" xfId="77"/>
    <cellStyle name="Normal 5 3" xfId="78"/>
    <cellStyle name="Normal 6" xfId="79"/>
    <cellStyle name="Normal 6 2" xfId="80"/>
    <cellStyle name="Normal 6 3" xfId="81"/>
    <cellStyle name="Normal 6 4" xfId="82"/>
    <cellStyle name="Normal 7" xfId="83"/>
    <cellStyle name="Normal 7 2" xfId="84"/>
    <cellStyle name="Normal 7 3" xfId="85"/>
    <cellStyle name="Normal 7 4" xfId="86"/>
    <cellStyle name="Normal 8" xfId="87"/>
    <cellStyle name="Normal 9" xfId="88"/>
    <cellStyle name="Normal 9 2" xfId="89"/>
    <cellStyle name="Normal 9 3" xfId="90"/>
    <cellStyle name="Normal 9 3 2" xfId="91"/>
    <cellStyle name="Normal 9 4" xfId="92"/>
    <cellStyle name="Normal 9 4 2" xfId="93"/>
    <cellStyle name="Normal 9 5" xfId="94"/>
    <cellStyle name="Normal 9 5 2" xfId="95"/>
    <cellStyle name="Normal 9 6" xfId="96"/>
    <cellStyle name="Note 2" xfId="97"/>
    <cellStyle name="Output 2" xfId="98"/>
    <cellStyle name="Percent" xfId="3" builtinId="5"/>
    <cellStyle name="Percent 2" xfId="99"/>
    <cellStyle name="Title 2" xfId="100"/>
    <cellStyle name="Total 2" xfId="101"/>
    <cellStyle name="Warning Text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ill/AppData/Local/Microsoft/Windows/INetCache/Content.Outlook/2CUU5FAM/Health%20Sector%20-%202019-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year"/>
      <sheetName val="Compared to Total Exp, GDP"/>
      <sheetName val="DHB Stats"/>
      <sheetName val="Demographics"/>
      <sheetName val="Wage, price statistics"/>
      <sheetName val="Initiatives, Savings"/>
      <sheetName val="Health Vote 2019-20 pre-Budget"/>
      <sheetName val="Notes 2019-20 pre-Budget"/>
      <sheetName val="Health Vote 2018-19 post-Budget"/>
      <sheetName val="2018 Health appropriations"/>
      <sheetName val="Health Vote 2018-19 pre-Budget"/>
      <sheetName val="Notes 2018-19 pre-Budget"/>
      <sheetName val="Health Vote 2017-18 post-Budget"/>
      <sheetName val="2017 Health appropriations"/>
      <sheetName val="Health Vote 2017-18 pre-Budget"/>
      <sheetName val="Notes 2017-18 pre-Budget"/>
      <sheetName val="Settlements"/>
      <sheetName val="Multiyear discontinued"/>
      <sheetName val="MOH, Coleman calc"/>
      <sheetName val="Official shortfall ests"/>
      <sheetName val="Mental Health"/>
      <sheetName val="Health Vote 2016-17"/>
      <sheetName val="2016 Health appropriations"/>
      <sheetName val="Health Vote 2016-17 pre-Budget"/>
      <sheetName val="Notes 2016-17 pre-Budget"/>
      <sheetName val="MOH financial report 2015"/>
      <sheetName val="Health Vote 2015-16"/>
      <sheetName val="2015 Health appropriations"/>
      <sheetName val="Health Vote 2015-16 pre-Budget"/>
      <sheetName val="Health Vote 2014-15"/>
      <sheetName val="2014 Health appropriations"/>
      <sheetName val="Health Vote 2014-15 pre-Budget"/>
      <sheetName val="Labour-Infometrics"/>
      <sheetName val="Health Vote 2013-14"/>
      <sheetName val="Health Vote 2013-14 pre-Budget"/>
      <sheetName val="2013 Health appropriations"/>
      <sheetName val="HBL"/>
      <sheetName val="Population, ageing"/>
      <sheetName val="Ministry est 2012-13"/>
      <sheetName val="Health Vote 2012-13"/>
      <sheetName val="2012 Health appropriations"/>
      <sheetName val="2012 Health initiatives"/>
      <sheetName val="Supplementary Estimates 2011-12"/>
      <sheetName val="Health Vote 2011-12"/>
      <sheetName val="2011 Health appropriations"/>
      <sheetName val="2011 Health initiatives"/>
      <sheetName val="Supplementary Estimates 2010-11"/>
      <sheetName val="Health Vote 2010-11 - post"/>
      <sheetName val="Health Vote 2010-11"/>
      <sheetName val="2010 Health appropriations"/>
      <sheetName val="2010 New Policy initiatives"/>
      <sheetName val="2009 New Policy Initiatives"/>
      <sheetName val="2008 New Policy Initiatives"/>
      <sheetName val="2007 New Policy Initiatives"/>
      <sheetName val="2006 New Policy Initiatives"/>
      <sheetName val="Consolidated DHB Personnel Exp"/>
      <sheetName val="Employees"/>
      <sheetName val="Personnel costs"/>
      <sheetName val="Calc"/>
      <sheetName val="Average wage"/>
      <sheetName val="Wage aggregates"/>
    </sheetNames>
    <sheetDataSet>
      <sheetData sheetId="0">
        <row r="95">
          <cell r="Q95" t="str">
            <v>DHB Provider actual</v>
          </cell>
        </row>
        <row r="96">
          <cell r="Q96" t="str">
            <v>Health (Average wage)</v>
          </cell>
        </row>
        <row r="97">
          <cell r="Q97" t="str">
            <v>CPI</v>
          </cell>
        </row>
        <row r="98">
          <cell r="Q98" t="str">
            <v>CPI</v>
          </cell>
        </row>
        <row r="99">
          <cell r="Q99">
            <v>0.8</v>
          </cell>
        </row>
        <row r="144">
          <cell r="P144" t="str">
            <v>DHB Provider actual</v>
          </cell>
        </row>
        <row r="145">
          <cell r="P145" t="str">
            <v>Health (Average wage)</v>
          </cell>
        </row>
        <row r="146">
          <cell r="P146" t="str">
            <v>Public (Average wage)</v>
          </cell>
        </row>
        <row r="147">
          <cell r="P147" t="str">
            <v>Total (Average wage)</v>
          </cell>
        </row>
        <row r="148">
          <cell r="P148" t="str">
            <v>Health, public (LCI)</v>
          </cell>
        </row>
        <row r="149">
          <cell r="P149" t="str">
            <v>Health, all (LCI)</v>
          </cell>
        </row>
        <row r="150">
          <cell r="P150" t="str">
            <v>Public (LCI)</v>
          </cell>
        </row>
        <row r="151">
          <cell r="P151" t="str">
            <v>Total (LCI)</v>
          </cell>
        </row>
        <row r="152">
          <cell r="P152" t="str">
            <v>CPI</v>
          </cell>
        </row>
        <row r="153">
          <cell r="P153" t="str">
            <v>CPI Health Group</v>
          </cell>
        </row>
        <row r="154">
          <cell r="P154" t="str">
            <v>Health Care and Social Assistance PPI inputs</v>
          </cell>
        </row>
        <row r="155">
          <cell r="P155" t="str">
            <v>Hospitals PPI inputs</v>
          </cell>
        </row>
        <row r="156">
          <cell r="P156" t="str">
            <v>Medical and Other Health Care Services PPI inputs</v>
          </cell>
        </row>
        <row r="157">
          <cell r="P157" t="str">
            <v>Residential Care Services and Social Assistance PPI inputs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3">
          <cell r="G3">
            <v>377000</v>
          </cell>
        </row>
      </sheetData>
      <sheetData sheetId="8">
        <row r="2">
          <cell r="AE2" t="str">
            <v>2018/19</v>
          </cell>
        </row>
      </sheetData>
      <sheetData sheetId="9"/>
      <sheetData sheetId="10">
        <row r="4">
          <cell r="AK4">
            <v>2.6534083242832018E-2</v>
          </cell>
        </row>
      </sheetData>
      <sheetData sheetId="11"/>
      <sheetData sheetId="12">
        <row r="4">
          <cell r="AS4">
            <v>2.6346526009634275E-2</v>
          </cell>
        </row>
      </sheetData>
      <sheetData sheetId="13"/>
      <sheetData sheetId="14">
        <row r="4">
          <cell r="AK4">
            <v>2.1999999999999999E-2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AF4">
            <v>2.4156418276994194E-2</v>
          </cell>
          <cell r="AJ4">
            <v>0.03</v>
          </cell>
        </row>
      </sheetData>
      <sheetData sheetId="24">
        <row r="28">
          <cell r="D28">
            <v>2.4156418276994194E-2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AP4">
            <v>2.1000000000000001E-2</v>
          </cell>
          <cell r="AQ4">
            <v>0.55000000000000004</v>
          </cell>
        </row>
      </sheetData>
      <sheetData sheetId="34"/>
      <sheetData sheetId="35"/>
      <sheetData sheetId="36"/>
      <sheetData sheetId="37"/>
      <sheetData sheetId="38"/>
      <sheetData sheetId="39">
        <row r="1">
          <cell r="C1">
            <v>1</v>
          </cell>
        </row>
        <row r="4">
          <cell r="J4">
            <v>1.8499999999999999E-2</v>
          </cell>
          <cell r="K4">
            <v>0.28143808338968002</v>
          </cell>
          <cell r="AJ4">
            <v>0.02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C1">
            <v>1</v>
          </cell>
        </row>
      </sheetData>
      <sheetData sheetId="48">
        <row r="4">
          <cell r="D4">
            <v>4.2500000000000003E-2</v>
          </cell>
          <cell r="E4">
            <v>0.09</v>
          </cell>
          <cell r="F4">
            <v>0.02</v>
          </cell>
          <cell r="G4">
            <v>0.125</v>
          </cell>
          <cell r="H4">
            <v>0.02</v>
          </cell>
          <cell r="I4">
            <v>0.40694582540406332</v>
          </cell>
          <cell r="J4">
            <v>2.4E-2</v>
          </cell>
          <cell r="K4">
            <v>0.37805417459593671</v>
          </cell>
          <cell r="L4">
            <v>2.4E-2</v>
          </cell>
          <cell r="M4">
            <v>1.7999999999999999E-2</v>
          </cell>
          <cell r="N4">
            <v>8.0000000000000002E-3</v>
          </cell>
          <cell r="O4">
            <v>3.0000000000000001E-3</v>
          </cell>
          <cell r="P4">
            <v>1</v>
          </cell>
          <cell r="Q4">
            <v>1.0800000000000001E-2</v>
          </cell>
          <cell r="AE4">
            <v>0.62194582540406329</v>
          </cell>
          <cell r="AF4">
            <v>2.4E-2</v>
          </cell>
          <cell r="AG4">
            <v>1.4999999999999999E-2</v>
          </cell>
          <cell r="AH4">
            <v>3.0000000000000001E-3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0">
    <pageSetUpPr fitToPage="1"/>
  </sheetPr>
  <dimension ref="A1:AQ106"/>
  <sheetViews>
    <sheetView tabSelected="1" zoomScale="85" zoomScaleNormal="85" workbookViewId="0">
      <pane xSplit="3" ySplit="4" topLeftCell="P59" activePane="bottomRight" state="frozen"/>
      <selection sqref="A1:AR119"/>
      <selection pane="topRight" sqref="A1:AR119"/>
      <selection pane="bottomLeft" sqref="A1:AR119"/>
      <selection pane="bottomRight" activeCell="W88" sqref="W88"/>
    </sheetView>
  </sheetViews>
  <sheetFormatPr defaultRowHeight="15"/>
  <cols>
    <col min="1" max="1" width="72.7109375" customWidth="1"/>
    <col min="2" max="2" width="17.42578125" customWidth="1"/>
    <col min="3" max="3" width="13.140625" customWidth="1"/>
    <col min="4" max="4" width="11.42578125" customWidth="1"/>
    <col min="5" max="5" width="11.85546875" customWidth="1"/>
    <col min="6" max="6" width="11.42578125" customWidth="1"/>
    <col min="7" max="7" width="11.85546875" customWidth="1"/>
    <col min="8" max="8" width="11.42578125" customWidth="1"/>
    <col min="9" max="9" width="12.140625" customWidth="1"/>
    <col min="10" max="10" width="11.42578125" customWidth="1"/>
    <col min="11" max="11" width="12.140625" customWidth="1"/>
    <col min="12" max="12" width="12.5703125" customWidth="1"/>
    <col min="13" max="14" width="12.85546875" customWidth="1"/>
    <col min="15" max="15" width="11" customWidth="1"/>
    <col min="16" max="19" width="13.85546875" customWidth="1"/>
    <col min="20" max="20" width="2.7109375" customWidth="1"/>
    <col min="21" max="21" width="15.28515625" bestFit="1" customWidth="1"/>
    <col min="22" max="22" width="2.7109375" customWidth="1"/>
    <col min="23" max="23" width="10" customWidth="1"/>
    <col min="24" max="24" width="13.140625" customWidth="1"/>
    <col min="25" max="26" width="11.140625" customWidth="1"/>
    <col min="27" max="27" width="3.140625" customWidth="1"/>
    <col min="28" max="28" width="16.28515625" customWidth="1"/>
    <col min="29" max="29" width="11.42578125" customWidth="1"/>
    <col min="30" max="30" width="10.28515625" customWidth="1"/>
    <col min="31" max="31" width="10" customWidth="1"/>
    <col min="32" max="32" width="10.140625" bestFit="1" customWidth="1"/>
    <col min="34" max="34" width="12.28515625" customWidth="1"/>
    <col min="35" max="35" width="12" customWidth="1"/>
    <col min="36" max="36" width="11" customWidth="1"/>
    <col min="37" max="37" width="11.140625" bestFit="1" customWidth="1"/>
    <col min="38" max="38" width="11.28515625" customWidth="1"/>
    <col min="39" max="39" width="11.28515625" bestFit="1" customWidth="1"/>
    <col min="40" max="40" width="10.28515625" bestFit="1" customWidth="1"/>
    <col min="41" max="41" width="11.28515625" bestFit="1" customWidth="1"/>
    <col min="42" max="42" width="11" customWidth="1"/>
  </cols>
  <sheetData>
    <row r="1" spans="1:40" ht="36" customHeight="1">
      <c r="A1" s="1" t="s">
        <v>0</v>
      </c>
      <c r="B1" s="2">
        <f>Z69*1000</f>
        <v>1302558178.3835473</v>
      </c>
      <c r="C1">
        <v>1</v>
      </c>
      <c r="D1" s="107" t="s">
        <v>1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3"/>
    </row>
    <row r="2" spans="1:40" ht="97.5" customHeight="1">
      <c r="A2" s="4">
        <v>2.6</v>
      </c>
      <c r="B2" s="5">
        <f>B1/(A2*10^9)</f>
        <v>0.50098391476290283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9"/>
      <c r="U2" s="10" t="s">
        <v>19</v>
      </c>
      <c r="V2" s="10"/>
      <c r="W2" s="10" t="s">
        <v>20</v>
      </c>
      <c r="X2" s="10" t="s">
        <v>21</v>
      </c>
      <c r="Y2" s="10" t="s">
        <v>22</v>
      </c>
      <c r="Z2" s="10" t="s">
        <v>23</v>
      </c>
      <c r="AA2" s="10"/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</row>
    <row r="3" spans="1:40">
      <c r="A3" s="1" t="s">
        <v>34</v>
      </c>
      <c r="B3" s="2">
        <f>B1-W69*1000</f>
        <v>1254558178.3835473</v>
      </c>
      <c r="C3" s="11" t="s">
        <v>35</v>
      </c>
      <c r="D3" s="12" t="s">
        <v>36</v>
      </c>
      <c r="E3" s="12" t="s">
        <v>36</v>
      </c>
      <c r="F3" s="12" t="s">
        <v>36</v>
      </c>
      <c r="G3" s="12" t="s">
        <v>36</v>
      </c>
      <c r="H3" s="12" t="s">
        <v>36</v>
      </c>
      <c r="I3" s="12" t="s">
        <v>36</v>
      </c>
      <c r="J3" s="12" t="s">
        <v>36</v>
      </c>
      <c r="K3" s="12" t="s">
        <v>36</v>
      </c>
      <c r="L3" s="12" t="s">
        <v>36</v>
      </c>
      <c r="M3" s="12" t="s">
        <v>36</v>
      </c>
      <c r="N3" s="12" t="s">
        <v>36</v>
      </c>
      <c r="O3" s="13" t="s">
        <v>36</v>
      </c>
      <c r="P3" s="13" t="s">
        <v>36</v>
      </c>
      <c r="Q3" s="13"/>
      <c r="R3" s="13"/>
      <c r="S3" s="13" t="s">
        <v>36</v>
      </c>
      <c r="T3" s="14"/>
      <c r="U3" s="13" t="s">
        <v>36</v>
      </c>
      <c r="V3" s="13"/>
      <c r="W3" s="15" t="s">
        <v>35</v>
      </c>
      <c r="X3" s="15" t="s">
        <v>35</v>
      </c>
      <c r="Y3" s="15" t="s">
        <v>35</v>
      </c>
      <c r="Z3" s="15" t="s">
        <v>35</v>
      </c>
      <c r="AA3" s="15"/>
      <c r="AB3" s="13" t="s">
        <v>36</v>
      </c>
      <c r="AC3" s="11" t="s">
        <v>36</v>
      </c>
      <c r="AD3" s="11" t="s">
        <v>36</v>
      </c>
      <c r="AE3" s="11" t="s">
        <v>36</v>
      </c>
      <c r="AF3" s="14"/>
      <c r="AG3" s="16"/>
      <c r="AH3" s="14"/>
      <c r="AI3" s="14"/>
      <c r="AJ3" s="12" t="s">
        <v>36</v>
      </c>
      <c r="AK3" s="13" t="s">
        <v>36</v>
      </c>
    </row>
    <row r="4" spans="1:40">
      <c r="A4" s="1" t="s">
        <v>37</v>
      </c>
      <c r="B4" s="2">
        <v>1302558178.3835473</v>
      </c>
      <c r="C4" s="17" t="s">
        <v>38</v>
      </c>
      <c r="D4" s="18">
        <v>4.6723609888128452E-2</v>
      </c>
      <c r="E4" s="18">
        <v>0.15357030367500316</v>
      </c>
      <c r="F4" s="18">
        <v>0.10998293989728714</v>
      </c>
      <c r="G4" s="18">
        <v>0.19018175722186539</v>
      </c>
      <c r="H4" s="18">
        <v>7.3800937243658993E-2</v>
      </c>
      <c r="I4" s="18">
        <v>0.1466601712845258</v>
      </c>
      <c r="J4" s="18">
        <f>OtherWagesIncreases19</f>
        <v>3.3000000000000002E-2</v>
      </c>
      <c r="K4" s="18">
        <f>(1-DHBProviderProportion19)*LabourProportion19</f>
        <v>0.1419213225076405</v>
      </c>
      <c r="L4" s="18">
        <f>_CPI19</f>
        <v>0.02</v>
      </c>
      <c r="M4" s="19">
        <f>1-LabourProportion19</f>
        <v>0.36766644531096515</v>
      </c>
      <c r="N4" s="19">
        <f>_CPI19</f>
        <v>0.02</v>
      </c>
      <c r="O4" s="20">
        <v>2.3278682332490863E-2</v>
      </c>
      <c r="P4" s="18">
        <f>IF(NDGandProdSwitch19=0,1,0)*1.5%</f>
        <v>0</v>
      </c>
      <c r="Q4" s="18">
        <f>IF(NDGandProdSwitch19=0,1,0)*0.3%</f>
        <v>0</v>
      </c>
      <c r="R4" s="18">
        <v>1</v>
      </c>
      <c r="S4" s="18">
        <v>2.8000000000000001E-2</v>
      </c>
      <c r="T4" s="21"/>
      <c r="U4" s="21"/>
      <c r="V4" s="22"/>
      <c r="W4" s="22"/>
      <c r="X4" s="23"/>
      <c r="Y4" s="22"/>
      <c r="Z4" s="22"/>
      <c r="AA4" s="22"/>
      <c r="AB4" s="18">
        <v>0.63233355468903485</v>
      </c>
      <c r="AC4" s="24">
        <v>0.02</v>
      </c>
      <c r="AD4" s="24">
        <v>9.7719869706840434E-3</v>
      </c>
      <c r="AE4" s="24">
        <v>3.9674714665447475E-3</v>
      </c>
      <c r="AF4" s="24">
        <f>(MedicalSalaryIncreases19*MedicalProportion19+NursingSalaryIncrease19*NursingProportion19+OtherDHBWageIncreases19*OtherWageProportion19)/(MedicalProportion19+NursingProportion19+OtherWageProportion19)</f>
        <v>7.9353171223764438E-2</v>
      </c>
      <c r="AG4" s="24">
        <f>(MedicalSalaryIncreases19*MedicalProportion19+NursingSalaryIncrease19*NursingProportion19+OtherDHBWageIncreases19*OtherWageProportion19+DHBFundedWageIncreases19*DHBFundedProportion19)/LabourProportion19</f>
        <v>6.8949637655575283E-2</v>
      </c>
      <c r="AH4" s="24">
        <v>3.3000000000000002E-2</v>
      </c>
      <c r="AI4" s="24">
        <v>0.77555939985276645</v>
      </c>
      <c r="AJ4" s="19">
        <f>AllIndustriesWageIncr19</f>
        <v>3.3000000000000002E-2</v>
      </c>
      <c r="AK4" s="21">
        <v>2.5909571024273603E-2</v>
      </c>
    </row>
    <row r="5" spans="1:40">
      <c r="B5" s="25">
        <f>B4-B1</f>
        <v>0</v>
      </c>
      <c r="C5" s="26"/>
      <c r="D5" s="27"/>
      <c r="E5" s="28"/>
      <c r="F5" s="28"/>
      <c r="G5" s="28"/>
      <c r="H5" s="29"/>
      <c r="I5" s="29"/>
      <c r="J5" s="29"/>
      <c r="K5" s="29"/>
      <c r="L5" s="29"/>
      <c r="M5" s="29"/>
      <c r="N5" s="29"/>
      <c r="O5" s="18"/>
      <c r="P5" s="18"/>
      <c r="Q5" s="18"/>
      <c r="R5" s="30"/>
      <c r="S5" s="30"/>
      <c r="T5" s="31"/>
      <c r="U5" s="31"/>
      <c r="AB5" s="9"/>
      <c r="AC5" s="32"/>
      <c r="AD5" s="9"/>
      <c r="AE5" s="33"/>
      <c r="AF5" s="9"/>
      <c r="AG5" s="9"/>
      <c r="AH5" s="9"/>
      <c r="AI5" s="9"/>
    </row>
    <row r="6" spans="1:40">
      <c r="C6" s="26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8"/>
      <c r="P6" s="18"/>
      <c r="Q6" s="18"/>
      <c r="R6" s="30"/>
      <c r="S6" s="30"/>
      <c r="T6" s="31"/>
      <c r="U6" s="31"/>
      <c r="AB6" s="9"/>
      <c r="AC6" s="9"/>
      <c r="AD6" s="9"/>
      <c r="AE6" s="9"/>
      <c r="AF6" s="9"/>
      <c r="AG6" s="9"/>
      <c r="AH6" s="9"/>
      <c r="AI6" s="9"/>
    </row>
    <row r="7" spans="1:40">
      <c r="C7" s="26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18"/>
      <c r="P7" s="18"/>
      <c r="Q7" s="18"/>
      <c r="R7" s="30"/>
      <c r="S7" s="30"/>
      <c r="T7" s="31"/>
      <c r="U7" s="31"/>
      <c r="AB7" s="9"/>
      <c r="AC7" s="9"/>
      <c r="AD7" s="9"/>
      <c r="AE7" s="9"/>
      <c r="AF7" s="9"/>
      <c r="AG7" s="9"/>
      <c r="AH7" s="9"/>
      <c r="AI7" s="9"/>
    </row>
    <row r="8" spans="1:40">
      <c r="A8" s="6" t="s">
        <v>39</v>
      </c>
      <c r="B8" s="6"/>
      <c r="C8" s="34">
        <v>207460</v>
      </c>
      <c r="D8" s="35"/>
      <c r="E8" s="35"/>
      <c r="F8" s="35"/>
      <c r="G8" s="35"/>
      <c r="H8" s="35"/>
      <c r="I8" s="35"/>
      <c r="J8" s="35">
        <f>AllIndustriesWageIncr19</f>
        <v>3.3000000000000002E-2</v>
      </c>
      <c r="K8" s="35">
        <f>LabourProportion19</f>
        <v>0.63233355468903485</v>
      </c>
      <c r="L8" s="35"/>
      <c r="M8" s="35">
        <f>NonLabourProportion19</f>
        <v>0.36766644531096515</v>
      </c>
      <c r="N8" s="35">
        <f>NonLabourGeneralCostIncreases19</f>
        <v>0.02</v>
      </c>
      <c r="O8" s="35"/>
      <c r="P8" s="35"/>
      <c r="Q8" s="35">
        <f>ProductivityGrowth19</f>
        <v>0</v>
      </c>
      <c r="R8" s="35"/>
      <c r="S8" s="35"/>
      <c r="T8" s="35"/>
      <c r="U8" s="36">
        <f>((1+D8)*E8+(1+F8)*G8+(1+H8)*I8+(1+J8)*K8+(1+L8+N8)*M8)*(1+O8)*(1+P8)*(1-Q8)+R8*(1+S8)-1</f>
        <v>2.8220336210957431E-2</v>
      </c>
      <c r="V8" s="35"/>
      <c r="W8" s="37"/>
      <c r="X8" s="37">
        <f>C8*(1+U8)+W8</f>
        <v>213314.59095032522</v>
      </c>
      <c r="Y8" s="34">
        <f>X8</f>
        <v>213314.59095032522</v>
      </c>
      <c r="Z8" s="34">
        <f>Y8-C8</f>
        <v>5854.5909503252187</v>
      </c>
      <c r="AA8" s="34"/>
      <c r="AB8" s="9"/>
      <c r="AC8" s="9"/>
      <c r="AD8" s="9"/>
      <c r="AE8" s="9"/>
      <c r="AF8" s="9"/>
      <c r="AG8" s="9"/>
      <c r="AH8" s="9"/>
      <c r="AI8" s="9"/>
    </row>
    <row r="9" spans="1:40"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X9" s="37"/>
      <c r="Y9" s="38"/>
      <c r="Z9" s="39"/>
      <c r="AA9" s="9"/>
      <c r="AB9" s="9"/>
      <c r="AC9" s="9"/>
      <c r="AD9" s="9"/>
      <c r="AE9" s="9"/>
      <c r="AF9" s="9"/>
      <c r="AG9" s="9"/>
      <c r="AH9" s="9"/>
      <c r="AI9" s="9"/>
    </row>
    <row r="10" spans="1:40">
      <c r="A10" s="6" t="s">
        <v>40</v>
      </c>
      <c r="B10" s="6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AB10" s="40"/>
      <c r="AC10" s="9"/>
      <c r="AD10" s="9"/>
      <c r="AE10" s="9"/>
      <c r="AF10" s="9"/>
      <c r="AG10" s="9"/>
      <c r="AH10" s="9"/>
      <c r="AI10" s="9"/>
    </row>
    <row r="11" spans="1:40">
      <c r="A11" s="41" t="s">
        <v>41</v>
      </c>
      <c r="B11" s="41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AB11" s="42"/>
      <c r="AC11" s="9"/>
      <c r="AD11" s="9"/>
      <c r="AE11" s="9"/>
      <c r="AF11" s="9"/>
      <c r="AG11" s="9"/>
      <c r="AH11" s="9"/>
      <c r="AI11" s="9"/>
    </row>
    <row r="12" spans="1:40">
      <c r="A12" s="43" t="s">
        <v>42</v>
      </c>
      <c r="B12" s="43"/>
      <c r="C12" s="39">
        <v>1320417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  <c r="V12" s="35"/>
      <c r="W12" s="37"/>
      <c r="X12" s="37"/>
      <c r="Y12" s="37"/>
      <c r="Z12" s="37"/>
      <c r="AA12" s="35"/>
      <c r="AB12" s="42"/>
      <c r="AE12" s="9"/>
      <c r="AF12" s="9"/>
      <c r="AG12" s="9"/>
      <c r="AH12" s="9"/>
      <c r="AI12" s="9"/>
      <c r="AM12" s="44"/>
      <c r="AN12" s="44"/>
    </row>
    <row r="13" spans="1:40">
      <c r="A13" s="43" t="s">
        <v>43</v>
      </c>
      <c r="B13" s="43"/>
      <c r="C13" s="39">
        <v>724436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5"/>
      <c r="W13" s="37"/>
      <c r="X13" s="37"/>
      <c r="Y13" s="35"/>
      <c r="Z13" s="37"/>
      <c r="AA13" s="35"/>
      <c r="AB13" s="42"/>
      <c r="AE13" s="9"/>
      <c r="AF13" s="9"/>
      <c r="AG13" s="9"/>
      <c r="AH13" s="9"/>
      <c r="AI13" s="9"/>
      <c r="AM13" s="44"/>
      <c r="AN13" s="44"/>
    </row>
    <row r="14" spans="1:40">
      <c r="A14" s="43" t="s">
        <v>44</v>
      </c>
      <c r="B14" s="43"/>
      <c r="C14" s="39">
        <v>1421052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6"/>
      <c r="V14" s="35"/>
      <c r="W14" s="37"/>
      <c r="X14" s="37"/>
      <c r="Y14" s="35"/>
      <c r="Z14" s="37"/>
      <c r="AA14" s="35"/>
      <c r="AB14" s="42"/>
      <c r="AE14" s="9"/>
      <c r="AF14" s="9"/>
      <c r="AG14" s="9"/>
      <c r="AH14" s="9"/>
      <c r="AI14" s="9"/>
      <c r="AM14" s="44"/>
      <c r="AN14" s="44"/>
    </row>
    <row r="15" spans="1:40">
      <c r="A15" s="43" t="s">
        <v>45</v>
      </c>
      <c r="B15" s="43"/>
      <c r="C15" s="39">
        <v>765489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35"/>
      <c r="W15" s="37"/>
      <c r="X15" s="37"/>
      <c r="Y15" s="35"/>
      <c r="Z15" s="37"/>
      <c r="AA15" s="35"/>
      <c r="AB15" s="42"/>
      <c r="AE15" s="9"/>
      <c r="AF15" s="9"/>
      <c r="AG15" s="9"/>
      <c r="AH15" s="9"/>
      <c r="AI15" s="9"/>
      <c r="AM15" s="44"/>
      <c r="AN15" s="44"/>
    </row>
    <row r="16" spans="1:40">
      <c r="A16" s="43" t="s">
        <v>46</v>
      </c>
      <c r="B16" s="43"/>
      <c r="C16" s="39">
        <v>1439807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6"/>
      <c r="V16" s="35"/>
      <c r="W16" s="37"/>
      <c r="X16" s="37"/>
      <c r="Y16" s="35"/>
      <c r="Z16" s="37"/>
      <c r="AA16" s="35"/>
      <c r="AB16" s="42"/>
      <c r="AE16" s="9"/>
      <c r="AF16" s="9"/>
      <c r="AG16" s="9"/>
      <c r="AH16" s="9"/>
      <c r="AI16" s="9"/>
      <c r="AM16" s="44"/>
      <c r="AN16" s="44"/>
    </row>
    <row r="17" spans="1:43">
      <c r="A17" s="43" t="s">
        <v>47</v>
      </c>
      <c r="B17" s="43"/>
      <c r="C17" s="39">
        <v>497215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6"/>
      <c r="V17" s="35"/>
      <c r="W17" s="37"/>
      <c r="X17" s="37"/>
      <c r="Y17" s="35"/>
      <c r="Z17" s="37"/>
      <c r="AA17" s="35"/>
      <c r="AB17" s="42"/>
      <c r="AE17" s="9"/>
      <c r="AF17" s="9"/>
      <c r="AG17" s="9"/>
      <c r="AH17" s="9"/>
      <c r="AI17" s="9"/>
      <c r="AM17" s="44"/>
      <c r="AN17" s="44"/>
    </row>
    <row r="18" spans="1:43">
      <c r="A18" s="43" t="s">
        <v>48</v>
      </c>
      <c r="B18" s="43"/>
      <c r="C18" s="39">
        <v>397128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6"/>
      <c r="V18" s="35"/>
      <c r="W18" s="37"/>
      <c r="X18" s="37"/>
      <c r="Y18" s="35"/>
      <c r="Z18" s="37"/>
      <c r="AA18" s="35"/>
      <c r="AB18" s="42"/>
      <c r="AE18" s="9"/>
      <c r="AF18" s="9"/>
      <c r="AG18" s="9"/>
      <c r="AH18" s="9"/>
      <c r="AI18" s="9"/>
      <c r="AM18" s="44"/>
      <c r="AN18" s="44"/>
    </row>
    <row r="19" spans="1:43">
      <c r="A19" s="43" t="s">
        <v>49</v>
      </c>
      <c r="B19" s="43"/>
      <c r="C19" s="39">
        <v>326173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  <c r="V19" s="35"/>
      <c r="W19" s="37"/>
      <c r="X19" s="37"/>
      <c r="Y19" s="35"/>
      <c r="Z19" s="37"/>
      <c r="AA19" s="35"/>
      <c r="AB19" s="42"/>
      <c r="AE19" s="9"/>
      <c r="AF19" s="9"/>
      <c r="AG19" s="9"/>
      <c r="AH19" s="9"/>
      <c r="AI19" s="9"/>
      <c r="AM19" s="44"/>
      <c r="AN19" s="44"/>
    </row>
    <row r="20" spans="1:43">
      <c r="A20" s="43" t="s">
        <v>50</v>
      </c>
      <c r="B20" s="43"/>
      <c r="C20" s="39">
        <v>511676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6"/>
      <c r="V20" s="35"/>
      <c r="W20" s="37"/>
      <c r="X20" s="37"/>
      <c r="Y20" s="35"/>
      <c r="Z20" s="37"/>
      <c r="AA20" s="35"/>
      <c r="AB20" s="40"/>
      <c r="AE20" s="9"/>
      <c r="AF20" s="9"/>
      <c r="AG20" s="9"/>
      <c r="AH20" s="9"/>
      <c r="AI20" s="9"/>
      <c r="AM20" s="44"/>
      <c r="AN20" s="44"/>
    </row>
    <row r="21" spans="1:43">
      <c r="A21" s="43" t="s">
        <v>51</v>
      </c>
      <c r="B21" s="43"/>
      <c r="C21" s="39">
        <v>437795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  <c r="V21" s="35"/>
      <c r="W21" s="37"/>
      <c r="X21" s="37"/>
      <c r="Y21" s="35"/>
      <c r="Z21" s="37"/>
      <c r="AA21" s="35"/>
      <c r="AB21" s="9"/>
      <c r="AE21" s="9"/>
      <c r="AF21" s="9"/>
      <c r="AG21" s="9"/>
      <c r="AH21" s="9"/>
      <c r="AI21" s="9"/>
      <c r="AM21" s="44"/>
      <c r="AN21" s="44"/>
    </row>
    <row r="22" spans="1:43">
      <c r="A22" s="43" t="s">
        <v>52</v>
      </c>
      <c r="B22" s="43"/>
      <c r="C22" s="39">
        <v>599300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/>
      <c r="V22" s="35"/>
      <c r="W22" s="37"/>
      <c r="X22" s="37"/>
      <c r="Y22" s="35"/>
      <c r="Z22" s="37"/>
      <c r="AA22" s="35"/>
      <c r="AB22" s="9"/>
      <c r="AE22" s="9"/>
      <c r="AF22" s="9"/>
      <c r="AG22" s="9"/>
      <c r="AH22" s="9"/>
      <c r="AI22" s="9"/>
      <c r="AM22" s="44"/>
      <c r="AN22" s="44"/>
    </row>
    <row r="23" spans="1:43">
      <c r="A23" s="43" t="s">
        <v>53</v>
      </c>
      <c r="B23" s="43"/>
      <c r="C23" s="39">
        <v>181432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6"/>
      <c r="V23" s="35"/>
      <c r="W23" s="37"/>
      <c r="X23" s="37"/>
      <c r="Y23" s="35"/>
      <c r="Z23" s="37"/>
      <c r="AA23" s="35"/>
      <c r="AB23" s="9"/>
      <c r="AE23" s="9"/>
      <c r="AF23" s="9"/>
      <c r="AG23" s="9"/>
      <c r="AH23" s="9"/>
      <c r="AI23" s="9"/>
      <c r="AM23" s="44"/>
      <c r="AN23" s="44"/>
    </row>
    <row r="24" spans="1:43">
      <c r="A24" s="43" t="s">
        <v>54</v>
      </c>
      <c r="B24" s="43"/>
      <c r="C24" s="39">
        <v>876351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6"/>
      <c r="V24" s="35"/>
      <c r="W24" s="37"/>
      <c r="X24" s="37"/>
      <c r="Y24" s="35"/>
      <c r="Z24" s="37"/>
      <c r="AA24" s="35"/>
      <c r="AB24" s="9"/>
      <c r="AE24" s="9"/>
      <c r="AF24" s="9"/>
      <c r="AG24" s="9"/>
      <c r="AH24" s="9"/>
      <c r="AI24" s="9"/>
      <c r="AM24" s="44"/>
      <c r="AN24" s="44"/>
    </row>
    <row r="25" spans="1:43">
      <c r="A25" s="43" t="s">
        <v>55</v>
      </c>
      <c r="B25" s="43"/>
      <c r="C25" s="39">
        <v>165267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6"/>
      <c r="V25" s="35"/>
      <c r="W25" s="37"/>
      <c r="X25" s="37"/>
      <c r="Y25" s="35"/>
      <c r="Z25" s="37"/>
      <c r="AA25" s="35"/>
      <c r="AB25" s="9"/>
      <c r="AE25" s="9"/>
      <c r="AF25" s="9"/>
      <c r="AG25" s="9"/>
      <c r="AH25" s="9"/>
      <c r="AI25" s="9"/>
      <c r="AM25" s="44"/>
      <c r="AN25" s="44"/>
    </row>
    <row r="26" spans="1:43">
      <c r="A26" s="43" t="s">
        <v>56</v>
      </c>
      <c r="B26" s="43"/>
      <c r="C26" s="39">
        <v>345188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6"/>
      <c r="V26" s="35"/>
      <c r="W26" s="37"/>
      <c r="X26" s="37"/>
      <c r="Y26" s="35"/>
      <c r="Z26" s="37"/>
      <c r="AA26" s="35"/>
      <c r="AB26" s="9"/>
      <c r="AE26" s="9"/>
      <c r="AF26" s="9"/>
      <c r="AG26" s="9"/>
      <c r="AH26" s="9"/>
      <c r="AI26" s="9"/>
      <c r="AJ26" s="9"/>
      <c r="AK26" s="9"/>
      <c r="AL26" s="9"/>
      <c r="AM26" s="44"/>
      <c r="AN26" s="44"/>
      <c r="AO26" s="9"/>
      <c r="AP26" s="9"/>
      <c r="AQ26" s="9"/>
    </row>
    <row r="27" spans="1:43">
      <c r="A27" s="43" t="s">
        <v>57</v>
      </c>
      <c r="B27" s="43"/>
      <c r="C27" s="39">
        <v>1197666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6"/>
      <c r="V27" s="35"/>
      <c r="W27" s="37"/>
      <c r="X27" s="37"/>
      <c r="Y27" s="45"/>
      <c r="Z27" s="37"/>
      <c r="AA27" s="45"/>
      <c r="AB27" s="9"/>
      <c r="AE27" s="9"/>
      <c r="AF27" s="9"/>
      <c r="AG27" s="9"/>
      <c r="AH27" s="9"/>
      <c r="AI27" s="9"/>
      <c r="AJ27" s="9"/>
      <c r="AK27" s="9"/>
      <c r="AL27" s="9"/>
      <c r="AM27" s="44"/>
      <c r="AN27" s="44"/>
      <c r="AO27" s="9"/>
      <c r="AP27" s="9"/>
      <c r="AQ27" s="9"/>
    </row>
    <row r="28" spans="1:43">
      <c r="A28" s="43" t="s">
        <v>58</v>
      </c>
      <c r="B28" s="43"/>
      <c r="C28" s="39">
        <v>140030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6"/>
      <c r="V28" s="35"/>
      <c r="W28" s="37"/>
      <c r="X28" s="37"/>
      <c r="Y28" s="45"/>
      <c r="Z28" s="37"/>
      <c r="AA28" s="45"/>
      <c r="AB28" s="9"/>
      <c r="AE28" s="9"/>
      <c r="AF28" s="9"/>
      <c r="AG28" s="9"/>
      <c r="AH28" s="9"/>
      <c r="AI28" s="9"/>
      <c r="AJ28" s="9"/>
      <c r="AK28" s="9"/>
      <c r="AL28" s="9"/>
      <c r="AM28" s="44"/>
      <c r="AN28" s="44"/>
      <c r="AO28" s="9"/>
      <c r="AP28" s="9"/>
      <c r="AQ28" s="9"/>
    </row>
    <row r="29" spans="1:43">
      <c r="A29" s="43" t="s">
        <v>59</v>
      </c>
      <c r="B29" s="43"/>
      <c r="C29" s="39">
        <v>1531538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6"/>
      <c r="V29" s="35"/>
      <c r="W29" s="37"/>
      <c r="X29" s="37"/>
      <c r="Y29" s="45"/>
      <c r="Z29" s="37"/>
      <c r="AA29" s="45"/>
      <c r="AB29" s="9"/>
      <c r="AE29" s="9"/>
      <c r="AF29" s="9"/>
      <c r="AG29" s="9"/>
      <c r="AH29" s="9"/>
      <c r="AI29" s="9"/>
      <c r="AJ29" s="9"/>
      <c r="AK29" s="9"/>
      <c r="AL29" s="9"/>
      <c r="AM29" s="44"/>
      <c r="AN29" s="44"/>
      <c r="AO29" s="9"/>
      <c r="AP29" s="9"/>
      <c r="AQ29" s="9"/>
    </row>
    <row r="30" spans="1:43">
      <c r="A30" s="43" t="s">
        <v>60</v>
      </c>
      <c r="B30" s="43"/>
      <c r="C30" s="39">
        <v>132618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6"/>
      <c r="V30" s="35"/>
      <c r="W30" s="37"/>
      <c r="X30" s="37"/>
      <c r="Y30" s="45"/>
      <c r="Z30" s="37"/>
      <c r="AA30" s="45"/>
      <c r="AB30" s="9"/>
      <c r="AE30" s="9"/>
      <c r="AF30" s="9"/>
      <c r="AG30" s="9"/>
      <c r="AH30" s="9"/>
      <c r="AI30" s="9"/>
      <c r="AJ30" s="9"/>
      <c r="AK30" s="9"/>
      <c r="AL30" s="9"/>
      <c r="AM30" s="44"/>
      <c r="AN30" s="44"/>
      <c r="AO30" s="9"/>
      <c r="AP30" s="9"/>
      <c r="AQ30" s="9"/>
    </row>
    <row r="31" spans="1:43">
      <c r="A31" s="46" t="s">
        <v>61</v>
      </c>
      <c r="B31" s="46"/>
      <c r="C31" s="47">
        <v>225131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9"/>
      <c r="V31" s="48"/>
      <c r="W31" s="50"/>
      <c r="X31" s="50"/>
      <c r="Y31" s="51"/>
      <c r="Z31" s="50"/>
      <c r="AA31" s="52"/>
      <c r="AB31" s="9"/>
      <c r="AE31" s="9"/>
      <c r="AF31" s="9"/>
      <c r="AG31" s="9"/>
      <c r="AH31" s="9"/>
      <c r="AI31" s="9"/>
      <c r="AJ31" s="9"/>
      <c r="AK31" s="9"/>
      <c r="AL31" s="9"/>
      <c r="AM31" s="44"/>
      <c r="AN31" s="44"/>
      <c r="AO31" s="9"/>
      <c r="AP31" s="9"/>
      <c r="AQ31" s="9"/>
    </row>
    <row r="32" spans="1:43">
      <c r="A32" s="53" t="s">
        <v>62</v>
      </c>
      <c r="C32" s="34">
        <f>SUM(C12:C31)</f>
        <v>13235709</v>
      </c>
      <c r="D32" s="54">
        <f>MedicalSalaryIncreases19</f>
        <v>4.6723609888128452E-2</v>
      </c>
      <c r="E32" s="54">
        <f>MedicalProportion19</f>
        <v>0.15357030367500316</v>
      </c>
      <c r="F32" s="54">
        <f>NursingSalaryIncrease19</f>
        <v>0.10998293989728714</v>
      </c>
      <c r="G32" s="54">
        <f>NursingProportion19</f>
        <v>0.19018175722186539</v>
      </c>
      <c r="H32" s="54">
        <f>OtherDHBWageIncreases19</f>
        <v>7.3800937243658993E-2</v>
      </c>
      <c r="I32" s="54">
        <f>OtherWageProportion19</f>
        <v>0.1466601712845258</v>
      </c>
      <c r="J32" s="54">
        <f>DHBFundedWageIncreases19</f>
        <v>3.3000000000000002E-2</v>
      </c>
      <c r="K32" s="54">
        <f>DHBFundedProportion19</f>
        <v>0.1419213225076405</v>
      </c>
      <c r="L32" s="54">
        <f>NonLabourHealthServicesCostIncrease19</f>
        <v>0.02</v>
      </c>
      <c r="M32" s="54">
        <f>NonLabourProportion19</f>
        <v>0.36766644531096515</v>
      </c>
      <c r="N32" s="35"/>
      <c r="O32" s="54">
        <f>PopulationGrowth19</f>
        <v>2.3278682332490863E-2</v>
      </c>
      <c r="P32" s="54">
        <f>NonDemographicGrowth19</f>
        <v>0</v>
      </c>
      <c r="Q32" s="54">
        <f>ProductivityGrowth19</f>
        <v>0</v>
      </c>
      <c r="R32" s="54"/>
      <c r="S32" s="54"/>
      <c r="T32" s="54"/>
      <c r="U32" s="55">
        <f>((1+D32)*E32+(1+F32)*G32+(1+H32)*I32+(1+J32)*K32+(1+L32+N32)*M32)*(1+O32)*(1+P32)*(1-Q32)+R32*(1+S32)-1</f>
        <v>7.5417287735803917E-2</v>
      </c>
      <c r="V32" s="6"/>
      <c r="W32" s="56">
        <f t="array" ref="W32">SUM(IF($B$88:$B$93="DHBs",$C$88:$C$93,0))</f>
        <v>48000</v>
      </c>
      <c r="X32" s="34">
        <f>C32*(1+U32)+W32</f>
        <v>14281910.274040369</v>
      </c>
      <c r="Y32" s="34"/>
      <c r="Z32" s="34">
        <f>X32-C32</f>
        <v>1046201.2740403693</v>
      </c>
      <c r="AA32" s="34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>
      <c r="A33" s="41"/>
      <c r="B33" s="6"/>
      <c r="C33" s="39"/>
      <c r="D33" s="39"/>
      <c r="E33" s="39"/>
      <c r="F33" s="39"/>
      <c r="G33" s="39"/>
      <c r="H33" s="39"/>
      <c r="I33" s="39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57"/>
      <c r="V33" s="58" t="s">
        <v>63</v>
      </c>
      <c r="X33" s="59">
        <f>X32-W32</f>
        <v>14233910.274040369</v>
      </c>
      <c r="Y33" s="38" t="s">
        <v>64</v>
      </c>
      <c r="Z33" s="60">
        <f>Z32/C32</f>
        <v>7.9043840722122963E-2</v>
      </c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>
      <c r="A34" s="53"/>
      <c r="B34" s="34"/>
      <c r="C34" s="39"/>
      <c r="D34" s="35"/>
      <c r="E34" s="35"/>
      <c r="F34" s="39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V34" s="61" t="s">
        <v>64</v>
      </c>
      <c r="W34" s="1"/>
      <c r="X34" s="59">
        <f>X33-C32</f>
        <v>998201.27404036932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>
      <c r="A35" s="53"/>
      <c r="B35" s="34"/>
      <c r="C35" s="39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V35" s="61"/>
      <c r="W35" s="1"/>
      <c r="X35" s="5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>
      <c r="A36" s="41" t="s">
        <v>65</v>
      </c>
      <c r="B36" s="34"/>
      <c r="C36" s="39">
        <v>1000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35"/>
      <c r="S36" s="35"/>
      <c r="T36" s="35"/>
      <c r="U36" s="36"/>
      <c r="V36" s="61"/>
      <c r="W36" s="1"/>
      <c r="X36" s="37">
        <v>0</v>
      </c>
      <c r="Y36" s="38"/>
      <c r="Z36" s="37">
        <f t="shared" ref="Z36:Z54" si="0">X36-C36</f>
        <v>-1000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>
      <c r="A37" s="41" t="s">
        <v>66</v>
      </c>
      <c r="B37" s="34"/>
      <c r="C37" s="39">
        <v>3500</v>
      </c>
      <c r="D37" s="62"/>
      <c r="E37" s="62"/>
      <c r="F37" s="62"/>
      <c r="G37" s="62"/>
      <c r="H37" s="62"/>
      <c r="I37" s="62"/>
      <c r="J37" s="62">
        <f>AllIndustriesWageIncr19</f>
        <v>3.3000000000000002E-2</v>
      </c>
      <c r="K37" s="62">
        <f t="shared" ref="K37:K52" si="1">LabourProportion19</f>
        <v>0.63233355468903485</v>
      </c>
      <c r="L37" s="62"/>
      <c r="M37" s="62">
        <f t="shared" ref="M37:M52" si="2">NonLabourProportion19</f>
        <v>0.36766644531096515</v>
      </c>
      <c r="N37" s="62">
        <f t="shared" ref="N37:N52" si="3">NonLabourGeneralCostIncreases19</f>
        <v>0.02</v>
      </c>
      <c r="O37" s="62"/>
      <c r="P37" s="62">
        <f t="shared" ref="P37:P52" si="4">NonDemographicGrowth19</f>
        <v>0</v>
      </c>
      <c r="Q37" s="62">
        <f t="shared" ref="Q37:Q52" si="5">ProductivityGrowth19</f>
        <v>0</v>
      </c>
      <c r="R37" s="35"/>
      <c r="S37" s="35"/>
      <c r="T37" s="35"/>
      <c r="U37" s="36">
        <f t="shared" ref="U37:U52" si="6">((1+D37)*E37+(1+F37)*G37+(1+H37)*I37+(1+J37)*K37+(1+L37+N37)*M37)*(1+O37)*(1+P37)*(1-Q37)+R37*(1+S37)-1</f>
        <v>2.8220336210957431E-2</v>
      </c>
      <c r="V37" s="35"/>
      <c r="W37" s="37"/>
      <c r="X37" s="37">
        <f t="shared" ref="X37:X52" si="7">C37*(1+U37)+W37</f>
        <v>3598.7711767383512</v>
      </c>
      <c r="Y37" s="35"/>
      <c r="Z37" s="37">
        <f t="shared" si="0"/>
        <v>98.771176738351187</v>
      </c>
      <c r="AA37" s="35"/>
      <c r="AB37" s="9"/>
      <c r="AC37" s="9"/>
      <c r="AD37" s="9"/>
      <c r="AE37" s="9"/>
      <c r="AF37" s="40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>
      <c r="A38" s="41" t="s">
        <v>67</v>
      </c>
      <c r="B38" s="34"/>
      <c r="C38" s="39">
        <v>186745</v>
      </c>
      <c r="D38" s="62"/>
      <c r="E38" s="62"/>
      <c r="F38" s="62"/>
      <c r="G38" s="62"/>
      <c r="H38" s="62"/>
      <c r="I38" s="62"/>
      <c r="J38" s="62">
        <f>AllIndustriesWageIncr19</f>
        <v>3.3000000000000002E-2</v>
      </c>
      <c r="K38" s="62">
        <f t="shared" si="1"/>
        <v>0.63233355468903485</v>
      </c>
      <c r="L38" s="62"/>
      <c r="M38" s="62">
        <f t="shared" si="2"/>
        <v>0.36766644531096515</v>
      </c>
      <c r="N38" s="62">
        <f t="shared" si="3"/>
        <v>0.02</v>
      </c>
      <c r="O38" s="62"/>
      <c r="P38" s="62">
        <f t="shared" si="4"/>
        <v>0</v>
      </c>
      <c r="Q38" s="62">
        <f t="shared" si="5"/>
        <v>0</v>
      </c>
      <c r="R38" s="35"/>
      <c r="S38" s="35"/>
      <c r="T38" s="35"/>
      <c r="U38" s="36">
        <f t="shared" si="6"/>
        <v>2.8220336210957431E-2</v>
      </c>
      <c r="V38" s="35"/>
      <c r="W38" s="37"/>
      <c r="X38" s="37">
        <f t="shared" si="7"/>
        <v>192015.00668571526</v>
      </c>
      <c r="Y38" s="35"/>
      <c r="Z38" s="37">
        <f t="shared" si="0"/>
        <v>5270.006685715256</v>
      </c>
      <c r="AA38" s="35"/>
      <c r="AB38" s="9"/>
      <c r="AC38" s="9"/>
      <c r="AD38" s="9"/>
      <c r="AE38" s="9"/>
      <c r="AF38" s="40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>
      <c r="A39" s="41" t="s">
        <v>68</v>
      </c>
      <c r="B39" s="34"/>
      <c r="C39" s="39">
        <v>29546</v>
      </c>
      <c r="D39" s="62"/>
      <c r="E39" s="62"/>
      <c r="F39" s="62"/>
      <c r="G39" s="62"/>
      <c r="H39" s="62"/>
      <c r="I39" s="62"/>
      <c r="J39" s="62">
        <f>AllIndustriesWageIncr19</f>
        <v>3.3000000000000002E-2</v>
      </c>
      <c r="K39" s="62">
        <f t="shared" si="1"/>
        <v>0.63233355468903485</v>
      </c>
      <c r="L39" s="62"/>
      <c r="M39" s="62">
        <f t="shared" si="2"/>
        <v>0.36766644531096515</v>
      </c>
      <c r="N39" s="62">
        <f t="shared" si="3"/>
        <v>0.02</v>
      </c>
      <c r="O39" s="62"/>
      <c r="P39" s="62">
        <f t="shared" si="4"/>
        <v>0</v>
      </c>
      <c r="Q39" s="62">
        <f t="shared" si="5"/>
        <v>0</v>
      </c>
      <c r="R39" s="35"/>
      <c r="S39" s="35"/>
      <c r="T39" s="35"/>
      <c r="U39" s="36">
        <f t="shared" si="6"/>
        <v>2.8220336210957431E-2</v>
      </c>
      <c r="V39" s="35"/>
      <c r="W39" s="37"/>
      <c r="X39" s="37">
        <f t="shared" si="7"/>
        <v>30379.798053688948</v>
      </c>
      <c r="Y39" s="35"/>
      <c r="Z39" s="37">
        <f t="shared" si="0"/>
        <v>833.79805368894813</v>
      </c>
      <c r="AA39" s="35"/>
      <c r="AB39" s="9"/>
      <c r="AC39" s="9"/>
      <c r="AD39" s="9"/>
      <c r="AE39" s="9"/>
      <c r="AF39" s="40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>
      <c r="A40" s="41" t="s">
        <v>69</v>
      </c>
      <c r="B40" s="34"/>
      <c r="C40" s="39">
        <v>89254</v>
      </c>
      <c r="D40" s="62"/>
      <c r="E40" s="62"/>
      <c r="F40" s="62"/>
      <c r="G40" s="62"/>
      <c r="H40" s="62"/>
      <c r="I40" s="62"/>
      <c r="J40" s="62">
        <f>DHBProviderWageIncrease19</f>
        <v>7.9353171223764438E-2</v>
      </c>
      <c r="K40" s="62">
        <f t="shared" si="1"/>
        <v>0.63233355468903485</v>
      </c>
      <c r="L40" s="62"/>
      <c r="M40" s="62">
        <f t="shared" si="2"/>
        <v>0.36766644531096515</v>
      </c>
      <c r="N40" s="62">
        <f t="shared" si="3"/>
        <v>0.02</v>
      </c>
      <c r="O40" s="62">
        <f>ChildPopGrowth19</f>
        <v>3.9674714665447475E-3</v>
      </c>
      <c r="P40" s="62">
        <f t="shared" si="4"/>
        <v>0</v>
      </c>
      <c r="Q40" s="62">
        <f t="shared" si="5"/>
        <v>0</v>
      </c>
      <c r="R40" s="35"/>
      <c r="S40" s="35"/>
      <c r="T40" s="35"/>
      <c r="U40" s="36">
        <f t="shared" si="6"/>
        <v>6.1726725816387829E-2</v>
      </c>
      <c r="V40" s="35"/>
      <c r="W40" s="37"/>
      <c r="X40" s="37">
        <f t="shared" si="7"/>
        <v>94763.357186015885</v>
      </c>
      <c r="Y40" s="35"/>
      <c r="Z40" s="37">
        <f t="shared" si="0"/>
        <v>5509.3571860158845</v>
      </c>
      <c r="AA40" s="35"/>
      <c r="AB40" s="9"/>
      <c r="AC40" s="9"/>
      <c r="AD40" s="9"/>
      <c r="AE40" s="9"/>
      <c r="AF40" s="40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>
      <c r="A41" s="41" t="s">
        <v>70</v>
      </c>
      <c r="B41" s="34"/>
      <c r="C41" s="39">
        <v>28720</v>
      </c>
      <c r="D41" s="62"/>
      <c r="E41" s="62"/>
      <c r="F41" s="62"/>
      <c r="G41" s="62"/>
      <c r="H41" s="62"/>
      <c r="I41" s="62"/>
      <c r="J41" s="62">
        <f>AllIndustriesWageIncr19</f>
        <v>3.3000000000000002E-2</v>
      </c>
      <c r="K41" s="62">
        <f t="shared" si="1"/>
        <v>0.63233355468903485</v>
      </c>
      <c r="L41" s="62"/>
      <c r="M41" s="62">
        <f t="shared" si="2"/>
        <v>0.36766644531096515</v>
      </c>
      <c r="N41" s="62">
        <f t="shared" si="3"/>
        <v>0.02</v>
      </c>
      <c r="O41" s="62">
        <f>PopulationGrowth19</f>
        <v>2.3278682332490863E-2</v>
      </c>
      <c r="P41" s="62">
        <f t="shared" si="4"/>
        <v>0</v>
      </c>
      <c r="Q41" s="62">
        <f t="shared" si="5"/>
        <v>0</v>
      </c>
      <c r="R41" s="35"/>
      <c r="S41" s="35"/>
      <c r="T41" s="35"/>
      <c r="U41" s="36">
        <f t="shared" si="6"/>
        <v>5.2155950785419236E-2</v>
      </c>
      <c r="V41" s="35"/>
      <c r="W41" s="37"/>
      <c r="X41" s="37">
        <f t="shared" si="7"/>
        <v>30217.918906557239</v>
      </c>
      <c r="Y41" s="35"/>
      <c r="Z41" s="37">
        <f t="shared" si="0"/>
        <v>1497.9189065572391</v>
      </c>
      <c r="AA41" s="35"/>
      <c r="AB41" s="9"/>
      <c r="AC41" s="9"/>
      <c r="AD41" s="9"/>
      <c r="AE41" s="9"/>
      <c r="AF41" s="40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>
      <c r="A42" s="41" t="s">
        <v>71</v>
      </c>
      <c r="B42" s="34"/>
      <c r="C42" s="39">
        <v>1268594</v>
      </c>
      <c r="D42" s="62"/>
      <c r="E42" s="62"/>
      <c r="F42" s="62"/>
      <c r="G42" s="62"/>
      <c r="H42" s="62"/>
      <c r="I42" s="62"/>
      <c r="J42" s="62">
        <f>AllIndustriesWageIncr19</f>
        <v>3.3000000000000002E-2</v>
      </c>
      <c r="K42" s="62">
        <f t="shared" si="1"/>
        <v>0.63233355468903485</v>
      </c>
      <c r="L42" s="62"/>
      <c r="M42" s="62">
        <f t="shared" si="2"/>
        <v>0.36766644531096515</v>
      </c>
      <c r="N42" s="62">
        <f t="shared" si="3"/>
        <v>0.02</v>
      </c>
      <c r="O42" s="62">
        <f>PopulationGrowth19</f>
        <v>2.3278682332490863E-2</v>
      </c>
      <c r="P42" s="62">
        <f t="shared" si="4"/>
        <v>0</v>
      </c>
      <c r="Q42" s="62">
        <f t="shared" si="5"/>
        <v>0</v>
      </c>
      <c r="R42" s="35"/>
      <c r="S42" s="35"/>
      <c r="T42" s="35"/>
      <c r="U42" s="36">
        <f t="shared" si="6"/>
        <v>5.2155950785419236E-2</v>
      </c>
      <c r="V42" s="35"/>
      <c r="W42" s="37"/>
      <c r="X42" s="37">
        <f t="shared" si="7"/>
        <v>1334758.7262306781</v>
      </c>
      <c r="Y42" s="37"/>
      <c r="Z42" s="37">
        <f t="shared" si="0"/>
        <v>66164.726230678149</v>
      </c>
      <c r="AA42" s="35"/>
      <c r="AB42" s="9"/>
      <c r="AC42" s="9"/>
      <c r="AD42" s="9"/>
      <c r="AE42" s="9"/>
      <c r="AF42" s="40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>
      <c r="A43" s="41" t="s">
        <v>72</v>
      </c>
      <c r="B43" s="34"/>
      <c r="C43" s="39">
        <v>363517</v>
      </c>
      <c r="D43" s="62">
        <f>MedicalSalaryIncreases19</f>
        <v>4.6723609888128452E-2</v>
      </c>
      <c r="E43" s="62">
        <f>MedicalProportion19</f>
        <v>0.15357030367500316</v>
      </c>
      <c r="F43" s="62">
        <f>NursingSalaryIncrease19</f>
        <v>0.10998293989728714</v>
      </c>
      <c r="G43" s="62">
        <f>NursingProportion19</f>
        <v>0.19018175722186539</v>
      </c>
      <c r="H43" s="62">
        <f>OtherDHBWageIncreases19</f>
        <v>7.3800937243658993E-2</v>
      </c>
      <c r="I43" s="62">
        <f>OtherWageProportion19</f>
        <v>0.1466601712845258</v>
      </c>
      <c r="J43" s="62">
        <f>DHBFundedWageIncreases19</f>
        <v>3.3000000000000002E-2</v>
      </c>
      <c r="K43" s="62">
        <f>DHBFundedProportion19</f>
        <v>0.1419213225076405</v>
      </c>
      <c r="L43" s="62">
        <f>NonLabourHealthServicesCostIncrease19</f>
        <v>0.02</v>
      </c>
      <c r="M43" s="62">
        <f t="shared" si="2"/>
        <v>0.36766644531096515</v>
      </c>
      <c r="N43" s="62"/>
      <c r="O43" s="62">
        <f>PopulationGrowth19</f>
        <v>2.3278682332490863E-2</v>
      </c>
      <c r="P43" s="62">
        <f t="shared" si="4"/>
        <v>0</v>
      </c>
      <c r="Q43" s="62">
        <f t="shared" si="5"/>
        <v>0</v>
      </c>
      <c r="R43" s="35"/>
      <c r="S43" s="35"/>
      <c r="T43" s="35"/>
      <c r="U43" s="36">
        <f t="shared" si="6"/>
        <v>7.5417287735803917E-2</v>
      </c>
      <c r="V43" s="35"/>
      <c r="W43" s="37"/>
      <c r="X43" s="37">
        <f t="shared" si="7"/>
        <v>390932.46618585626</v>
      </c>
      <c r="Y43" s="35"/>
      <c r="Z43" s="37">
        <f t="shared" si="0"/>
        <v>27415.466185856261</v>
      </c>
      <c r="AA43" s="35"/>
      <c r="AB43" s="9"/>
      <c r="AC43" s="9"/>
      <c r="AD43" s="9"/>
      <c r="AE43" s="9"/>
      <c r="AF43" s="40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>
      <c r="A44" s="41" t="s">
        <v>73</v>
      </c>
      <c r="B44" s="34"/>
      <c r="C44" s="39">
        <v>129597</v>
      </c>
      <c r="D44" s="62"/>
      <c r="E44" s="62"/>
      <c r="F44" s="62"/>
      <c r="G44" s="62"/>
      <c r="H44" s="62"/>
      <c r="I44" s="62"/>
      <c r="J44" s="62">
        <f>AllIndustriesWageIncr19</f>
        <v>3.3000000000000002E-2</v>
      </c>
      <c r="K44" s="62">
        <f t="shared" si="1"/>
        <v>0.63233355468903485</v>
      </c>
      <c r="L44" s="62"/>
      <c r="M44" s="62">
        <f t="shared" si="2"/>
        <v>0.36766644531096515</v>
      </c>
      <c r="N44" s="62">
        <f t="shared" si="3"/>
        <v>0.02</v>
      </c>
      <c r="O44" s="62">
        <f>PopulationGrowth19</f>
        <v>2.3278682332490863E-2</v>
      </c>
      <c r="P44" s="62">
        <f t="shared" si="4"/>
        <v>0</v>
      </c>
      <c r="Q44" s="62">
        <f t="shared" si="5"/>
        <v>0</v>
      </c>
      <c r="R44" s="35"/>
      <c r="S44" s="35"/>
      <c r="T44" s="35"/>
      <c r="U44" s="36">
        <f t="shared" si="6"/>
        <v>5.2155950785419236E-2</v>
      </c>
      <c r="V44" s="35"/>
      <c r="W44" s="37"/>
      <c r="X44" s="37">
        <f t="shared" si="7"/>
        <v>136356.25475393797</v>
      </c>
      <c r="Y44" s="35"/>
      <c r="Z44" s="37">
        <f t="shared" si="0"/>
        <v>6759.2547539379739</v>
      </c>
      <c r="AA44" s="35"/>
      <c r="AB44" s="9"/>
      <c r="AC44" s="9"/>
      <c r="AD44" s="9"/>
      <c r="AE44" s="9"/>
      <c r="AF44" s="40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>
      <c r="A45" s="41" t="s">
        <v>74</v>
      </c>
      <c r="B45" s="34"/>
      <c r="C45" s="39">
        <v>8042</v>
      </c>
      <c r="D45" s="62"/>
      <c r="E45" s="62"/>
      <c r="F45" s="62"/>
      <c r="G45" s="62"/>
      <c r="H45" s="62"/>
      <c r="I45" s="62"/>
      <c r="J45" s="62">
        <f>AllIndustriesWageIncr19</f>
        <v>3.3000000000000002E-2</v>
      </c>
      <c r="K45" s="62">
        <f t="shared" si="1"/>
        <v>0.63233355468903485</v>
      </c>
      <c r="L45" s="62"/>
      <c r="M45" s="62">
        <f t="shared" si="2"/>
        <v>0.36766644531096515</v>
      </c>
      <c r="N45" s="62">
        <f t="shared" si="3"/>
        <v>0.02</v>
      </c>
      <c r="O45" s="62"/>
      <c r="P45" s="62">
        <f t="shared" si="4"/>
        <v>0</v>
      </c>
      <c r="Q45" s="62">
        <f t="shared" si="5"/>
        <v>0</v>
      </c>
      <c r="R45" s="35"/>
      <c r="S45" s="35"/>
      <c r="T45" s="35"/>
      <c r="U45" s="36">
        <f t="shared" si="6"/>
        <v>2.8220336210957431E-2</v>
      </c>
      <c r="V45" s="35"/>
      <c r="W45" s="37"/>
      <c r="X45" s="37">
        <f t="shared" si="7"/>
        <v>8268.94794380852</v>
      </c>
      <c r="Y45" s="35"/>
      <c r="Z45" s="37">
        <f t="shared" si="0"/>
        <v>226.94794380851999</v>
      </c>
      <c r="AA45" s="35"/>
      <c r="AB45" s="9"/>
      <c r="AC45" s="9"/>
      <c r="AD45" s="9"/>
      <c r="AE45" s="9"/>
      <c r="AF45" s="40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>
      <c r="A46" s="41" t="s">
        <v>75</v>
      </c>
      <c r="B46" s="34"/>
      <c r="C46" s="39">
        <v>6828</v>
      </c>
      <c r="D46" s="62"/>
      <c r="E46" s="62"/>
      <c r="F46" s="62"/>
      <c r="G46" s="62"/>
      <c r="H46" s="62"/>
      <c r="I46" s="62"/>
      <c r="J46" s="62">
        <f>AllIndustriesWageIncr19</f>
        <v>3.3000000000000002E-2</v>
      </c>
      <c r="K46" s="62">
        <f t="shared" si="1"/>
        <v>0.63233355468903485</v>
      </c>
      <c r="L46" s="62"/>
      <c r="M46" s="62">
        <f t="shared" si="2"/>
        <v>0.36766644531096515</v>
      </c>
      <c r="N46" s="62">
        <f t="shared" si="3"/>
        <v>0.02</v>
      </c>
      <c r="O46" s="62">
        <f>MaoriPopulationGrowth19</f>
        <v>2.5909571024273603E-2</v>
      </c>
      <c r="P46" s="62">
        <f t="shared" si="4"/>
        <v>0</v>
      </c>
      <c r="Q46" s="62">
        <f t="shared" si="5"/>
        <v>0</v>
      </c>
      <c r="R46" s="35"/>
      <c r="S46" s="35"/>
      <c r="T46" s="35"/>
      <c r="U46" s="36">
        <f t="shared" si="6"/>
        <v>5.4861084040617625E-2</v>
      </c>
      <c r="V46" s="35"/>
      <c r="W46" s="37"/>
      <c r="X46" s="37">
        <f t="shared" si="7"/>
        <v>7202.5914818293368</v>
      </c>
      <c r="Y46" s="35"/>
      <c r="Z46" s="37">
        <f t="shared" si="0"/>
        <v>374.59148182933677</v>
      </c>
      <c r="AA46" s="35"/>
      <c r="AB46" s="9"/>
      <c r="AC46" s="9"/>
      <c r="AD46" s="9"/>
      <c r="AE46" s="9"/>
      <c r="AF46" s="40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>
      <c r="A47" s="41" t="s">
        <v>76</v>
      </c>
      <c r="B47" s="34"/>
      <c r="C47" s="39">
        <v>181067</v>
      </c>
      <c r="D47" s="62"/>
      <c r="E47" s="62"/>
      <c r="F47" s="62"/>
      <c r="G47" s="62"/>
      <c r="H47" s="62"/>
      <c r="I47" s="62"/>
      <c r="J47" s="62">
        <f>DHBProviderWageIncrease19</f>
        <v>7.9353171223764438E-2</v>
      </c>
      <c r="K47" s="62">
        <f t="shared" si="1"/>
        <v>0.63233355468903485</v>
      </c>
      <c r="L47" s="62"/>
      <c r="M47" s="62">
        <f t="shared" si="2"/>
        <v>0.36766644531096515</v>
      </c>
      <c r="N47" s="62">
        <f t="shared" si="3"/>
        <v>0.02</v>
      </c>
      <c r="O47" s="62">
        <f>BirthGrowth19</f>
        <v>9.7719869706840434E-3</v>
      </c>
      <c r="P47" s="62">
        <f t="shared" si="4"/>
        <v>0</v>
      </c>
      <c r="Q47" s="62">
        <f t="shared" si="5"/>
        <v>0</v>
      </c>
      <c r="R47" s="35"/>
      <c r="S47" s="35"/>
      <c r="T47" s="35"/>
      <c r="U47" s="36">
        <f t="shared" si="6"/>
        <v>6.7865180912107359E-2</v>
      </c>
      <c r="V47" s="35"/>
      <c r="W47" s="37"/>
      <c r="X47" s="37">
        <f t="shared" si="7"/>
        <v>193355.14471221255</v>
      </c>
      <c r="Y47" s="35"/>
      <c r="Z47" s="37">
        <f t="shared" si="0"/>
        <v>12288.144712212554</v>
      </c>
      <c r="AA47" s="35"/>
      <c r="AB47" s="9"/>
      <c r="AC47" s="9"/>
      <c r="AD47" s="9"/>
      <c r="AE47" s="9"/>
      <c r="AF47" s="40"/>
      <c r="AG47" s="9"/>
      <c r="AH47" s="9"/>
      <c r="AI47" s="9"/>
    </row>
    <row r="48" spans="1:43">
      <c r="A48" s="41" t="s">
        <v>77</v>
      </c>
      <c r="B48" s="34"/>
      <c r="C48" s="39">
        <v>68094</v>
      </c>
      <c r="D48" s="62"/>
      <c r="E48" s="62"/>
      <c r="F48" s="62"/>
      <c r="G48" s="62"/>
      <c r="H48" s="62"/>
      <c r="I48" s="62"/>
      <c r="J48" s="62">
        <f>DHBProviderWageIncrease19</f>
        <v>7.9353171223764438E-2</v>
      </c>
      <c r="K48" s="62">
        <f t="shared" si="1"/>
        <v>0.63233355468903485</v>
      </c>
      <c r="L48" s="62"/>
      <c r="M48" s="62">
        <f t="shared" si="2"/>
        <v>0.36766644531096515</v>
      </c>
      <c r="N48" s="62">
        <f t="shared" si="3"/>
        <v>0.02</v>
      </c>
      <c r="O48" s="62">
        <v>0.05</v>
      </c>
      <c r="P48" s="62">
        <f t="shared" si="4"/>
        <v>0</v>
      </c>
      <c r="Q48" s="62">
        <f t="shared" si="5"/>
        <v>0</v>
      </c>
      <c r="R48" s="35"/>
      <c r="S48" s="35"/>
      <c r="T48" s="35"/>
      <c r="U48" s="36">
        <f t="shared" si="6"/>
        <v>0.11040755182908968</v>
      </c>
      <c r="V48" s="35"/>
      <c r="W48" s="37"/>
      <c r="X48" s="37">
        <f t="shared" si="7"/>
        <v>75612.091834250037</v>
      </c>
      <c r="Y48" s="35"/>
      <c r="Z48" s="37">
        <f t="shared" si="0"/>
        <v>7518.0918342500372</v>
      </c>
      <c r="AA48" s="35"/>
      <c r="AB48" s="9"/>
      <c r="AC48" s="9"/>
      <c r="AD48" s="9"/>
      <c r="AE48" s="9"/>
      <c r="AF48" s="40"/>
      <c r="AG48" s="9"/>
      <c r="AH48" s="9"/>
      <c r="AI48" s="9"/>
    </row>
    <row r="49" spans="1:35">
      <c r="A49" s="41" t="s">
        <v>78</v>
      </c>
      <c r="B49" s="34"/>
      <c r="C49" s="39">
        <v>78151</v>
      </c>
      <c r="D49" s="62"/>
      <c r="E49" s="62"/>
      <c r="F49" s="62"/>
      <c r="G49" s="62"/>
      <c r="H49" s="62"/>
      <c r="I49" s="62"/>
      <c r="J49" s="62">
        <f>DHBProviderWageIncrease19</f>
        <v>7.9353171223764438E-2</v>
      </c>
      <c r="K49" s="62">
        <f t="shared" si="1"/>
        <v>0.63233355468903485</v>
      </c>
      <c r="L49" s="62"/>
      <c r="M49" s="62">
        <f t="shared" si="2"/>
        <v>0.36766644531096515</v>
      </c>
      <c r="N49" s="62">
        <f t="shared" si="3"/>
        <v>0.02</v>
      </c>
      <c r="O49" s="62">
        <f>PopulationGrowth19</f>
        <v>2.3278682332490863E-2</v>
      </c>
      <c r="P49" s="62">
        <f t="shared" si="4"/>
        <v>0</v>
      </c>
      <c r="Q49" s="62">
        <f t="shared" si="5"/>
        <v>0</v>
      </c>
      <c r="R49" s="35"/>
      <c r="S49" s="35"/>
      <c r="T49" s="35"/>
      <c r="U49" s="36">
        <f t="shared" si="6"/>
        <v>8.2148929988302699E-2</v>
      </c>
      <c r="V49" s="35"/>
      <c r="W49" s="37"/>
      <c r="X49" s="37">
        <f t="shared" si="7"/>
        <v>84571.021027515846</v>
      </c>
      <c r="Y49" s="35"/>
      <c r="Z49" s="37">
        <f t="shared" si="0"/>
        <v>6420.0210275158461</v>
      </c>
      <c r="AA49" s="35"/>
      <c r="AB49" s="9"/>
      <c r="AC49" s="9"/>
      <c r="AD49" s="9"/>
      <c r="AE49" s="9"/>
      <c r="AF49" s="40"/>
      <c r="AG49" s="9"/>
      <c r="AH49" s="9"/>
      <c r="AI49" s="9"/>
    </row>
    <row r="50" spans="1:35">
      <c r="A50" s="41" t="s">
        <v>79</v>
      </c>
      <c r="B50" s="34"/>
      <c r="C50" s="39">
        <v>266396</v>
      </c>
      <c r="D50" s="62"/>
      <c r="E50" s="62"/>
      <c r="F50" s="62"/>
      <c r="G50" s="62"/>
      <c r="H50" s="62"/>
      <c r="I50" s="62"/>
      <c r="J50" s="62">
        <f>AllIndustriesWageIncr19</f>
        <v>3.3000000000000002E-2</v>
      </c>
      <c r="K50" s="62">
        <f t="shared" si="1"/>
        <v>0.63233355468903485</v>
      </c>
      <c r="L50" s="62"/>
      <c r="M50" s="62">
        <f t="shared" si="2"/>
        <v>0.36766644531096515</v>
      </c>
      <c r="N50" s="62">
        <f t="shared" si="3"/>
        <v>0.02</v>
      </c>
      <c r="O50" s="62">
        <f>PopulationGrowth19</f>
        <v>2.3278682332490863E-2</v>
      </c>
      <c r="P50" s="62">
        <f t="shared" si="4"/>
        <v>0</v>
      </c>
      <c r="Q50" s="62">
        <f t="shared" si="5"/>
        <v>0</v>
      </c>
      <c r="R50" s="35"/>
      <c r="S50" s="35"/>
      <c r="T50" s="35"/>
      <c r="U50" s="36">
        <f t="shared" si="6"/>
        <v>5.2155950785419236E-2</v>
      </c>
      <c r="V50" s="35"/>
      <c r="W50" s="37"/>
      <c r="X50" s="37">
        <f t="shared" si="7"/>
        <v>280290.13666543254</v>
      </c>
      <c r="Y50" s="35"/>
      <c r="Z50" s="37">
        <f t="shared" si="0"/>
        <v>13894.136665432539</v>
      </c>
      <c r="AA50" s="35"/>
      <c r="AB50" s="9"/>
      <c r="AC50" s="9"/>
      <c r="AD50" s="9"/>
      <c r="AE50" s="9"/>
      <c r="AF50" s="40"/>
      <c r="AG50" s="9"/>
      <c r="AH50" s="9"/>
      <c r="AI50" s="9"/>
    </row>
    <row r="51" spans="1:35">
      <c r="A51" s="63" t="s">
        <v>80</v>
      </c>
      <c r="B51" s="34"/>
      <c r="C51" s="39">
        <v>20941</v>
      </c>
      <c r="D51" s="62"/>
      <c r="E51" s="62"/>
      <c r="F51" s="62"/>
      <c r="G51" s="62"/>
      <c r="H51" s="62"/>
      <c r="I51" s="62"/>
      <c r="J51" s="62">
        <f>AllIndustriesWageIncr19</f>
        <v>3.3000000000000002E-2</v>
      </c>
      <c r="K51" s="62">
        <f t="shared" si="1"/>
        <v>0.63233355468903485</v>
      </c>
      <c r="L51" s="62"/>
      <c r="M51" s="62">
        <f t="shared" si="2"/>
        <v>0.36766644531096515</v>
      </c>
      <c r="N51" s="62">
        <f t="shared" si="3"/>
        <v>0.02</v>
      </c>
      <c r="O51" s="62">
        <f>PopulationGrowth19</f>
        <v>2.3278682332490863E-2</v>
      </c>
      <c r="P51" s="62">
        <f t="shared" si="4"/>
        <v>0</v>
      </c>
      <c r="Q51" s="62">
        <f t="shared" si="5"/>
        <v>0</v>
      </c>
      <c r="R51" s="35"/>
      <c r="S51" s="35"/>
      <c r="T51" s="35"/>
      <c r="U51" s="36">
        <f t="shared" si="6"/>
        <v>5.2155950785419236E-2</v>
      </c>
      <c r="V51" s="35"/>
      <c r="W51" s="37"/>
      <c r="X51" s="37">
        <f t="shared" si="7"/>
        <v>22033.197765397465</v>
      </c>
      <c r="Y51" s="35"/>
      <c r="Z51" s="37">
        <f t="shared" si="0"/>
        <v>1092.1977653974645</v>
      </c>
      <c r="AA51" s="45"/>
      <c r="AB51" s="9"/>
      <c r="AC51" s="9"/>
      <c r="AD51" s="9"/>
      <c r="AE51" s="9"/>
      <c r="AF51" s="40"/>
      <c r="AG51" s="9"/>
      <c r="AH51" s="9"/>
      <c r="AI51" s="9"/>
    </row>
    <row r="52" spans="1:35">
      <c r="A52" s="63" t="s">
        <v>81</v>
      </c>
      <c r="B52" s="34"/>
      <c r="C52" s="39">
        <v>423424</v>
      </c>
      <c r="D52" s="64"/>
      <c r="E52" s="64"/>
      <c r="F52" s="64"/>
      <c r="G52" s="64"/>
      <c r="H52" s="64"/>
      <c r="I52" s="64"/>
      <c r="J52" s="64">
        <f>DHBProviderWageIncrease19</f>
        <v>7.9353171223764438E-2</v>
      </c>
      <c r="K52" s="64">
        <f t="shared" si="1"/>
        <v>0.63233355468903485</v>
      </c>
      <c r="L52" s="64"/>
      <c r="M52" s="64">
        <f t="shared" si="2"/>
        <v>0.36766644531096515</v>
      </c>
      <c r="N52" s="64">
        <f t="shared" si="3"/>
        <v>0.02</v>
      </c>
      <c r="O52" s="64">
        <f>PopulationGrowth19</f>
        <v>2.3278682332490863E-2</v>
      </c>
      <c r="P52" s="64">
        <f t="shared" si="4"/>
        <v>0</v>
      </c>
      <c r="Q52" s="64">
        <f t="shared" si="5"/>
        <v>0</v>
      </c>
      <c r="R52" s="45"/>
      <c r="S52" s="45"/>
      <c r="T52" s="45"/>
      <c r="U52" s="65">
        <f t="shared" si="6"/>
        <v>8.2148929988302699E-2</v>
      </c>
      <c r="V52" s="45"/>
      <c r="W52" s="42"/>
      <c r="X52" s="42">
        <f t="shared" si="7"/>
        <v>458207.82853136706</v>
      </c>
      <c r="Y52" s="45"/>
      <c r="Z52" s="42">
        <f t="shared" si="0"/>
        <v>34783.828531367064</v>
      </c>
      <c r="AA52" s="45"/>
      <c r="AB52" s="9"/>
      <c r="AC52" s="9"/>
      <c r="AD52" s="9"/>
      <c r="AE52" s="9"/>
      <c r="AF52" s="40"/>
      <c r="AG52" s="9"/>
      <c r="AH52" s="9"/>
      <c r="AI52" s="9"/>
    </row>
    <row r="53" spans="1:35">
      <c r="A53" s="66" t="s">
        <v>82</v>
      </c>
      <c r="B53" s="67"/>
      <c r="C53" s="47">
        <v>348000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9">
        <f>X53/C53-1</f>
        <v>0.17413793103448283</v>
      </c>
      <c r="V53" s="48"/>
      <c r="W53" s="50"/>
      <c r="X53" s="50">
        <v>408600</v>
      </c>
      <c r="Y53" s="48"/>
      <c r="Z53" s="50">
        <f t="shared" si="0"/>
        <v>60600</v>
      </c>
      <c r="AA53" s="45"/>
      <c r="AB53" s="9"/>
      <c r="AC53" s="9"/>
      <c r="AD53" s="9"/>
      <c r="AE53" s="9"/>
      <c r="AF53" s="40"/>
      <c r="AG53" s="9"/>
      <c r="AH53" s="9"/>
      <c r="AI53" s="9"/>
    </row>
    <row r="54" spans="1:35">
      <c r="A54" s="68" t="s">
        <v>83</v>
      </c>
      <c r="B54" s="34"/>
      <c r="C54" s="34">
        <f>SUM(C36:C53)</f>
        <v>3501416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69">
        <f t="array" ref="U54">SUM(C37:C53*U37:U53)/SUM(C37:C53)</f>
        <v>7.1633559880026093E-2</v>
      </c>
      <c r="V54" s="35"/>
      <c r="W54" s="56">
        <f t="array" ref="W54">SUM(IF($B$88:$B$93&lt;&gt;"DHBs",$C$88:$C$93,0))</f>
        <v>0</v>
      </c>
      <c r="X54" s="34">
        <f>SUM(X36:X53)-SUM(W36:W53)+W54</f>
        <v>3751163.2591410014</v>
      </c>
      <c r="Y54" s="34">
        <f>X54</f>
        <v>3751163.2591410014</v>
      </c>
      <c r="Z54" s="34">
        <f t="shared" si="0"/>
        <v>249747.25914100138</v>
      </c>
      <c r="AA54" s="34"/>
      <c r="AB54" s="34"/>
      <c r="AC54" s="9"/>
      <c r="AD54" s="9"/>
      <c r="AE54" s="9"/>
      <c r="AF54" s="40"/>
      <c r="AG54" s="40"/>
      <c r="AH54" s="9"/>
      <c r="AI54" s="9"/>
    </row>
    <row r="55" spans="1:35"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45"/>
      <c r="V55" s="70" t="s">
        <v>63</v>
      </c>
      <c r="W55" s="9"/>
      <c r="X55" s="71">
        <f>X54-W54</f>
        <v>3751163.2591410014</v>
      </c>
      <c r="Y55" s="72" t="s">
        <v>64</v>
      </c>
      <c r="Z55" s="33">
        <f>Z54/C54</f>
        <v>7.1327502684914154E-2</v>
      </c>
      <c r="AA55" s="9"/>
      <c r="AB55" s="9"/>
      <c r="AC55" s="9"/>
      <c r="AD55" s="9"/>
      <c r="AE55" s="9"/>
      <c r="AF55" s="40"/>
      <c r="AG55" s="9"/>
      <c r="AH55" s="9"/>
      <c r="AI55" s="9"/>
    </row>
    <row r="56" spans="1:35"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48"/>
      <c r="V56" s="73" t="s">
        <v>64</v>
      </c>
      <c r="W56" s="74"/>
      <c r="X56" s="75">
        <f>X55-C54</f>
        <v>249747.25914100138</v>
      </c>
      <c r="Y56" s="76" t="s">
        <v>64</v>
      </c>
      <c r="Z56" s="77">
        <f>X56/C54</f>
        <v>7.1327502684914154E-2</v>
      </c>
      <c r="AA56" s="9"/>
      <c r="AB56" s="9"/>
      <c r="AC56" s="9"/>
      <c r="AD56" s="9"/>
      <c r="AE56" s="9"/>
      <c r="AF56" s="40"/>
      <c r="AG56" s="9"/>
      <c r="AH56" s="9"/>
      <c r="AI56" s="9"/>
    </row>
    <row r="57" spans="1:35">
      <c r="A57" s="78" t="s">
        <v>84</v>
      </c>
      <c r="B57" s="78"/>
      <c r="C57" s="79">
        <f>C54+C32</f>
        <v>16737125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69">
        <f t="array" ref="U57">SUM(C32:C51*U32:U51)/SUM(C32:C51)</f>
        <v>7.2252681210176972E-2</v>
      </c>
      <c r="W57" s="80">
        <f>W54+W32</f>
        <v>48000</v>
      </c>
      <c r="X57" s="34">
        <f>X32+X54</f>
        <v>18033073.533181369</v>
      </c>
      <c r="Y57" s="34">
        <f>X57</f>
        <v>18033073.533181369</v>
      </c>
      <c r="Z57" s="34">
        <f>X57-C57</f>
        <v>1295948.5331813693</v>
      </c>
      <c r="AA57" s="34"/>
      <c r="AB57" s="9"/>
      <c r="AC57" s="9"/>
      <c r="AD57" s="9"/>
      <c r="AE57" s="9"/>
      <c r="AF57" s="40"/>
      <c r="AG57" s="9"/>
      <c r="AH57" s="9"/>
      <c r="AI57" s="9"/>
    </row>
    <row r="58" spans="1:35"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6"/>
      <c r="V58" s="58" t="s">
        <v>63</v>
      </c>
      <c r="X58" s="59">
        <f>X57-W57</f>
        <v>17985073.533181369</v>
      </c>
      <c r="Y58" s="38" t="s">
        <v>64</v>
      </c>
      <c r="Z58" s="60">
        <f>Z57/C57</f>
        <v>7.7429578447993266E-2</v>
      </c>
      <c r="AA58" s="9"/>
      <c r="AB58" s="9"/>
      <c r="AC58" s="9"/>
      <c r="AD58" s="9"/>
      <c r="AE58" s="9"/>
      <c r="AF58" s="40"/>
      <c r="AG58" s="9"/>
      <c r="AH58" s="9"/>
      <c r="AI58" s="9"/>
    </row>
    <row r="59" spans="1:35">
      <c r="A59" s="6" t="s">
        <v>85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Y59" s="34"/>
      <c r="Z59" s="39"/>
      <c r="AA59" s="39"/>
      <c r="AB59" s="9"/>
      <c r="AC59" s="9"/>
      <c r="AD59" s="9"/>
      <c r="AE59" s="9"/>
      <c r="AF59" s="40"/>
      <c r="AG59" s="40"/>
      <c r="AH59" s="9"/>
      <c r="AI59" s="9"/>
    </row>
    <row r="60" spans="1:35"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6"/>
      <c r="Z60" s="39"/>
      <c r="AA60" s="39"/>
      <c r="AB60" s="9"/>
      <c r="AC60" s="9"/>
      <c r="AD60" s="9"/>
      <c r="AE60" s="9"/>
      <c r="AF60" s="9"/>
      <c r="AG60" s="9"/>
      <c r="AH60" s="9"/>
      <c r="AI60" s="9"/>
    </row>
    <row r="61" spans="1:35">
      <c r="A61" s="78" t="s">
        <v>86</v>
      </c>
      <c r="B61" s="78"/>
      <c r="C61" s="79">
        <f>SUM(C58:C60)</f>
        <v>0</v>
      </c>
      <c r="D61" s="81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69">
        <f>IFERROR(SUM(C60*U60)/SUM(C60),U60)</f>
        <v>0</v>
      </c>
      <c r="X61" s="34">
        <f t="array" ref="X61">SUM(C58:C60*(1+U58:U60))</f>
        <v>0</v>
      </c>
      <c r="Y61" s="34">
        <f>X61</f>
        <v>0</v>
      </c>
      <c r="Z61" s="34">
        <f>X61-C61</f>
        <v>0</v>
      </c>
      <c r="AA61" s="34"/>
      <c r="AB61" s="9"/>
      <c r="AC61" s="9"/>
      <c r="AD61" s="9"/>
      <c r="AE61" s="9"/>
      <c r="AF61" s="9"/>
      <c r="AG61" s="9"/>
      <c r="AH61" s="9"/>
      <c r="AI61" s="9"/>
    </row>
    <row r="62" spans="1:35"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Z62" s="39"/>
      <c r="AA62" s="39"/>
      <c r="AB62" s="9"/>
      <c r="AC62" s="9"/>
      <c r="AD62" s="9"/>
      <c r="AE62" s="9"/>
    </row>
    <row r="63" spans="1:35">
      <c r="A63" s="6" t="s">
        <v>87</v>
      </c>
      <c r="B63" s="6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AB63" s="9"/>
      <c r="AC63" s="9"/>
      <c r="AD63" s="9"/>
      <c r="AE63" s="9"/>
    </row>
    <row r="64" spans="1:35">
      <c r="A64" t="s">
        <v>88</v>
      </c>
      <c r="C64" s="39">
        <v>2030</v>
      </c>
      <c r="D64" s="35"/>
      <c r="E64" s="35"/>
      <c r="F64" s="35"/>
      <c r="G64" s="35"/>
      <c r="H64" s="35"/>
      <c r="I64" s="35"/>
      <c r="J64" s="35"/>
      <c r="K64" s="35"/>
      <c r="L64" s="35"/>
      <c r="M64" s="35">
        <v>1</v>
      </c>
      <c r="N64" s="35">
        <f>NonLabourGeneralCostIncreases19</f>
        <v>0.02</v>
      </c>
      <c r="O64" s="35"/>
      <c r="P64" s="35"/>
      <c r="Q64" s="35"/>
      <c r="R64" s="35"/>
      <c r="S64" s="35"/>
      <c r="T64" s="35"/>
      <c r="U64" s="36">
        <f>((1+D64)*E64+(1+F64)*G64+(1+H64)*I64+(1+J64)*K64+(1+L64+N64)*M64)*(1+O64)*(1+P64)*(1-Q64)+R64*(1+S64)-1</f>
        <v>2.0000000000000018E-2</v>
      </c>
      <c r="V64" s="35"/>
      <c r="W64" s="35"/>
      <c r="X64" s="37">
        <f>C64*(1+U64)</f>
        <v>2070.6</v>
      </c>
      <c r="Y64" s="35"/>
      <c r="Z64" s="35"/>
      <c r="AA64" s="35"/>
      <c r="AB64" s="9"/>
      <c r="AC64" s="9"/>
      <c r="AD64" s="9"/>
      <c r="AE64" s="9"/>
    </row>
    <row r="65" spans="1:35">
      <c r="A65" t="s">
        <v>89</v>
      </c>
      <c r="C65" s="39">
        <v>1028</v>
      </c>
      <c r="D65" s="35"/>
      <c r="E65" s="35"/>
      <c r="F65" s="35"/>
      <c r="G65" s="35"/>
      <c r="H65" s="35"/>
      <c r="I65" s="35"/>
      <c r="J65" s="35">
        <f>AllIndustriesWageIncr19</f>
        <v>3.3000000000000002E-2</v>
      </c>
      <c r="K65" s="35">
        <f>LabourProportion19</f>
        <v>0.63233355468903485</v>
      </c>
      <c r="L65" s="35"/>
      <c r="M65" s="35">
        <f>NonLabourProportion19</f>
        <v>0.36766644531096515</v>
      </c>
      <c r="N65" s="35">
        <f>NonLabourGeneralCostIncreases19</f>
        <v>0.02</v>
      </c>
      <c r="O65" s="35"/>
      <c r="P65" s="35"/>
      <c r="Q65" s="35">
        <f>ProductivityGrowth19</f>
        <v>0</v>
      </c>
      <c r="R65" s="35"/>
      <c r="S65" s="35"/>
      <c r="T65" s="35"/>
      <c r="U65" s="36">
        <f>((1+D65)*E65+(1+F65)*G65+(1+H65)*I65+(1+J65)*K65+(1+L65+N65)*M65)*(1+O65)*(1+P65)*(1-Q65)+R65*(1+S65)-1</f>
        <v>2.8220336210957431E-2</v>
      </c>
      <c r="V65" s="35"/>
      <c r="W65" s="35"/>
      <c r="X65" s="37">
        <f>C65*(1+U65)</f>
        <v>1057.0105056248642</v>
      </c>
      <c r="Y65" s="35"/>
      <c r="Z65" s="35"/>
      <c r="AA65" s="35"/>
      <c r="AB65" s="9"/>
      <c r="AC65" s="9"/>
      <c r="AD65" s="9"/>
      <c r="AE65" s="9"/>
    </row>
    <row r="66" spans="1:35">
      <c r="A66" t="s">
        <v>90</v>
      </c>
      <c r="C66" s="47">
        <v>24289</v>
      </c>
      <c r="D66" s="48"/>
      <c r="E66" s="48"/>
      <c r="F66" s="48"/>
      <c r="G66" s="48"/>
      <c r="H66" s="48"/>
      <c r="I66" s="48"/>
      <c r="J66" s="48">
        <f>AllIndustriesWageIncr19</f>
        <v>3.3000000000000002E-2</v>
      </c>
      <c r="K66" s="48">
        <f>LabourProportion19</f>
        <v>0.63233355468903485</v>
      </c>
      <c r="L66" s="48"/>
      <c r="M66" s="48">
        <f>NonLabourProportion19</f>
        <v>0.36766644531096515</v>
      </c>
      <c r="N66" s="48">
        <f>NonLabourGeneralCostIncreases19</f>
        <v>0.02</v>
      </c>
      <c r="O66" s="48"/>
      <c r="P66" s="48"/>
      <c r="Q66" s="48">
        <f>ProductivityGrowth19</f>
        <v>0</v>
      </c>
      <c r="R66" s="48"/>
      <c r="S66" s="48"/>
      <c r="T66" s="48"/>
      <c r="U66" s="49">
        <f>((1+D66)*E66+(1+F66)*G66+(1+H66)*I66+(1+J66)*K66+(1+L66+N66)*M66)*(1+O66)*(1+P66)*(1-Q66)+R66*(1+S66)-1</f>
        <v>2.8220336210957431E-2</v>
      </c>
      <c r="V66" s="48"/>
      <c r="W66" s="48"/>
      <c r="X66" s="50">
        <f>C66*(1+U66)</f>
        <v>24974.443746227946</v>
      </c>
      <c r="Y66" s="48"/>
      <c r="Z66" s="48"/>
      <c r="AA66" s="35"/>
      <c r="AB66" s="9"/>
      <c r="AC66" s="9"/>
      <c r="AD66" s="9"/>
      <c r="AE66" s="9"/>
    </row>
    <row r="67" spans="1:35">
      <c r="A67" s="78" t="s">
        <v>91</v>
      </c>
      <c r="B67" s="78"/>
      <c r="C67" s="80">
        <f>SUM(C64:C66)</f>
        <v>27347</v>
      </c>
      <c r="D67" s="80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5"/>
      <c r="S67" s="35"/>
      <c r="T67" s="35"/>
      <c r="U67" s="69">
        <f t="array" ref="U67">SUM(C64:C66*U64:U66)/SUM(C64:C66)</f>
        <v>2.7610130977906506E-2</v>
      </c>
      <c r="X67" s="34">
        <f t="array" ref="X67">SUM(C64:C66*(1+U64:U66))</f>
        <v>28102.054251852809</v>
      </c>
      <c r="Y67" s="34">
        <f>X67</f>
        <v>28102.054251852809</v>
      </c>
      <c r="Z67" s="34">
        <f>X67-C67</f>
        <v>755.0542518528091</v>
      </c>
      <c r="AA67" s="34"/>
      <c r="AB67" s="9"/>
      <c r="AC67" s="9"/>
      <c r="AD67" s="9"/>
      <c r="AE67" s="9"/>
    </row>
    <row r="68" spans="1:35">
      <c r="A68" s="82"/>
      <c r="B68" s="82"/>
      <c r="C68" s="80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5"/>
      <c r="S68" s="35"/>
      <c r="T68" s="35"/>
      <c r="U68" s="35"/>
      <c r="Y68" s="38"/>
      <c r="Z68" s="39"/>
      <c r="AA68" s="9"/>
      <c r="AB68" s="9"/>
      <c r="AC68" s="9"/>
      <c r="AD68" s="9"/>
      <c r="AE68" s="9"/>
    </row>
    <row r="69" spans="1:35">
      <c r="A69" s="83" t="s">
        <v>92</v>
      </c>
      <c r="B69" s="83"/>
      <c r="C69" s="84">
        <f>C67+C61+C57+C8</f>
        <v>16971932</v>
      </c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6"/>
      <c r="S69" s="86"/>
      <c r="T69" s="86"/>
      <c r="U69" s="87">
        <f>(C8*U8+C57*U57+C61*U61+C67*U67)/(C8+C57+C67)</f>
        <v>7.1642509656653183E-2</v>
      </c>
      <c r="V69" s="86"/>
      <c r="W69" s="88">
        <f>W67+W57+W61+W8</f>
        <v>48000</v>
      </c>
      <c r="X69" s="84">
        <f>X67+X57+X61+X8</f>
        <v>18274490.178383548</v>
      </c>
      <c r="Y69" s="84">
        <f>Y67+Y57+Y61+Y8</f>
        <v>18274490.178383548</v>
      </c>
      <c r="Z69" s="84">
        <f>Z67+Z57+Z61+Z8</f>
        <v>1302558.1783835473</v>
      </c>
      <c r="AA69" s="80"/>
      <c r="AB69" s="89"/>
      <c r="AC69" s="9"/>
      <c r="AD69" s="9"/>
      <c r="AE69" s="9"/>
    </row>
    <row r="70" spans="1:35"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5"/>
      <c r="S70" s="35"/>
      <c r="T70" s="35"/>
      <c r="U70" s="90"/>
      <c r="V70" s="58" t="s">
        <v>63</v>
      </c>
      <c r="X70" s="59">
        <f>X69-W69</f>
        <v>18226490.178383548</v>
      </c>
      <c r="Y70" s="38" t="s">
        <v>64</v>
      </c>
      <c r="Z70" s="60">
        <f>Z69/C69</f>
        <v>7.6747784423337739E-2</v>
      </c>
      <c r="AA70" s="9"/>
      <c r="AB70" s="9"/>
      <c r="AC70" s="9"/>
      <c r="AD70" s="9"/>
      <c r="AE70" s="9"/>
    </row>
    <row r="71" spans="1:35">
      <c r="B71" s="6"/>
      <c r="C71" s="39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5"/>
      <c r="S71" s="35"/>
      <c r="T71" s="35"/>
      <c r="U71" s="35"/>
      <c r="V71" s="61" t="s">
        <v>64</v>
      </c>
      <c r="W71" s="1"/>
      <c r="X71" s="59">
        <f>X70-C69</f>
        <v>1254558.1783835478</v>
      </c>
      <c r="Y71" s="59" t="s">
        <v>93</v>
      </c>
      <c r="Z71" s="60">
        <f>X71/C69</f>
        <v>7.3919585488767439E-2</v>
      </c>
      <c r="AA71" s="59"/>
      <c r="AB71" s="9"/>
      <c r="AC71" s="9"/>
      <c r="AD71" s="9"/>
      <c r="AE71" s="9"/>
    </row>
    <row r="72" spans="1:35">
      <c r="A72" s="6" t="s">
        <v>94</v>
      </c>
      <c r="B72" s="6"/>
      <c r="C72" s="39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5"/>
      <c r="S72" s="35"/>
      <c r="T72" s="35"/>
      <c r="U72" s="35"/>
      <c r="V72" s="61"/>
      <c r="W72" s="1"/>
      <c r="X72" s="59"/>
      <c r="Y72" s="59"/>
      <c r="Z72" s="60"/>
      <c r="AA72" s="59"/>
      <c r="AB72" s="9"/>
      <c r="AC72" s="9"/>
      <c r="AD72" s="9"/>
      <c r="AE72" s="9"/>
    </row>
    <row r="73" spans="1:35">
      <c r="A73" t="s">
        <v>95</v>
      </c>
      <c r="C73" s="50">
        <v>8837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48">
        <f>CapitalGoodsProportion19</f>
        <v>1</v>
      </c>
      <c r="S73" s="48">
        <f>CapitalPI19</f>
        <v>2.8000000000000001E-2</v>
      </c>
      <c r="T73" s="48"/>
      <c r="U73" s="48">
        <f>((1+D73)*E73+(1+F73)*G73+(1+H73)*I73+(1+L73+N73)*M73)*(1+O73)*(1+P73)+R73*(1+S73)-1</f>
        <v>2.8000000000000025E-2</v>
      </c>
      <c r="V73" s="14"/>
      <c r="W73" s="14"/>
      <c r="X73" s="50">
        <f>C73*(1+U73)</f>
        <v>9084.4359999999997</v>
      </c>
      <c r="Y73" s="14"/>
      <c r="Z73" s="14"/>
      <c r="AB73" s="9"/>
      <c r="AC73" s="9"/>
      <c r="AD73" s="9"/>
      <c r="AE73" s="9"/>
    </row>
    <row r="74" spans="1:35">
      <c r="A74" s="78" t="s">
        <v>96</v>
      </c>
      <c r="B74" s="78"/>
      <c r="C74" s="79">
        <f>SUM(C73)</f>
        <v>8837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5"/>
      <c r="S74" s="35"/>
      <c r="T74" s="35"/>
      <c r="U74" s="35"/>
      <c r="X74" s="34">
        <f t="array" ref="X74">SUM(C73*(1+U73))</f>
        <v>9084.4359999999997</v>
      </c>
      <c r="Z74" s="34">
        <f>X74-C74</f>
        <v>247.43599999999969</v>
      </c>
      <c r="AA74" s="34"/>
      <c r="AB74" s="9"/>
      <c r="AC74" s="9"/>
      <c r="AD74" s="9"/>
      <c r="AE74" s="9"/>
    </row>
    <row r="75" spans="1:35">
      <c r="C75" s="39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5"/>
      <c r="S75" s="35"/>
      <c r="T75" s="35"/>
      <c r="U75" s="35"/>
      <c r="Y75" s="38"/>
      <c r="Z75" s="39"/>
      <c r="AA75" s="9"/>
      <c r="AB75" s="9"/>
      <c r="AC75" s="9"/>
      <c r="AD75" s="9"/>
      <c r="AE75" s="9"/>
      <c r="AF75" s="9"/>
      <c r="AG75" s="9"/>
      <c r="AH75" s="9"/>
      <c r="AI75" s="9"/>
    </row>
    <row r="76" spans="1:35">
      <c r="A76" s="6" t="s">
        <v>97</v>
      </c>
      <c r="B76" s="6"/>
      <c r="C76" s="39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5"/>
      <c r="S76" s="35"/>
      <c r="T76" s="35"/>
      <c r="U76" s="35"/>
      <c r="AB76" s="9"/>
      <c r="AC76" s="9"/>
      <c r="AD76" s="9"/>
      <c r="AE76" s="9"/>
      <c r="AF76" s="9"/>
      <c r="AG76" s="9"/>
      <c r="AH76" s="9"/>
      <c r="AI76" s="9"/>
    </row>
    <row r="77" spans="1:35">
      <c r="A77" t="s">
        <v>98</v>
      </c>
      <c r="C77" s="39">
        <v>967383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5">
        <f>CapitalGoodsProportion19</f>
        <v>1</v>
      </c>
      <c r="S77" s="35">
        <f>CapitalPI19</f>
        <v>2.8000000000000001E-2</v>
      </c>
      <c r="T77" s="35"/>
      <c r="U77" s="35">
        <f>((1+D77)*E77+(1+F77)*G77+(1+H77)*I77+(1+L77+N77)*M77)*(1+O77)*(1+P77)+R77*(1+S77)-1</f>
        <v>2.8000000000000025E-2</v>
      </c>
      <c r="X77" s="37">
        <f>C77*(1+U77)</f>
        <v>994469.72400000005</v>
      </c>
      <c r="AB77" s="9"/>
      <c r="AC77" s="9"/>
      <c r="AD77" s="9"/>
      <c r="AE77" s="9"/>
      <c r="AF77" s="9"/>
      <c r="AG77" s="9"/>
      <c r="AH77" s="9"/>
      <c r="AI77" s="9"/>
    </row>
    <row r="78" spans="1:35">
      <c r="A78" s="91" t="s">
        <v>99</v>
      </c>
      <c r="C78" s="39">
        <v>123000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5">
        <f>CapitalGoodsProportion19</f>
        <v>1</v>
      </c>
      <c r="S78" s="35">
        <f>CapitalPI19</f>
        <v>2.8000000000000001E-2</v>
      </c>
      <c r="T78" s="35"/>
      <c r="U78" s="35">
        <f>((1+D78)*E78+(1+F78)*G78+(1+H78)*I78+(1+L78+N78)*M78)*(1+O78)*(1+P78)+R78*(1+S78)-1</f>
        <v>2.8000000000000025E-2</v>
      </c>
      <c r="X78" s="37">
        <f>C78*(1+U78)</f>
        <v>126444</v>
      </c>
      <c r="AB78" s="9"/>
      <c r="AC78" s="9"/>
      <c r="AD78" s="9"/>
      <c r="AE78" s="9"/>
      <c r="AF78" s="9"/>
      <c r="AG78" s="9"/>
      <c r="AH78" s="9"/>
      <c r="AI78" s="9"/>
    </row>
    <row r="79" spans="1:35">
      <c r="A79" t="s">
        <v>100</v>
      </c>
      <c r="C79" s="39">
        <v>15000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5">
        <f>CapitalGoodsProportion19</f>
        <v>1</v>
      </c>
      <c r="S79" s="35">
        <f>CapitalPI19</f>
        <v>2.8000000000000001E-2</v>
      </c>
      <c r="T79" s="35"/>
      <c r="U79" s="35">
        <f>((1+D79)*E79+(1+F79)*G79+(1+H79)*I79+(1+L79+N79)*M79)*(1+O79)*(1+P79)+R79*(1+S79)-1</f>
        <v>2.8000000000000025E-2</v>
      </c>
      <c r="X79" s="37">
        <f>C79*(1+U79)</f>
        <v>15420</v>
      </c>
      <c r="AB79" s="9"/>
      <c r="AC79" s="9"/>
      <c r="AD79" s="9"/>
      <c r="AE79" s="9"/>
      <c r="AF79" s="9"/>
      <c r="AG79" s="9"/>
      <c r="AH79" s="9"/>
      <c r="AI79" s="9"/>
    </row>
    <row r="80" spans="1:35">
      <c r="A80" t="s">
        <v>101</v>
      </c>
      <c r="C80" s="39">
        <v>139211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48">
        <f>CapitalGoodsProportion19</f>
        <v>1</v>
      </c>
      <c r="S80" s="48">
        <f>CapitalPI19</f>
        <v>2.8000000000000001E-2</v>
      </c>
      <c r="T80" s="48"/>
      <c r="U80" s="48">
        <f>((1+D80)*E80+(1+F80)*G80+(1+H80)*I80+(1+L80+N80)*M80)*(1+O80)*(1+P80)+R80*(1+S80)-1</f>
        <v>2.8000000000000025E-2</v>
      </c>
      <c r="V80" s="14"/>
      <c r="W80" s="14"/>
      <c r="X80" s="50">
        <f>C80*(1+U80)</f>
        <v>143108.908</v>
      </c>
      <c r="Y80" s="14"/>
      <c r="Z80" s="14"/>
      <c r="AB80" s="9"/>
      <c r="AC80" s="9"/>
      <c r="AD80" s="9"/>
      <c r="AE80" s="9"/>
      <c r="AF80" s="9"/>
      <c r="AG80" s="9"/>
      <c r="AH80" s="9"/>
      <c r="AI80" s="9"/>
    </row>
    <row r="81" spans="1:36">
      <c r="A81" s="78" t="s">
        <v>102</v>
      </c>
      <c r="B81" s="78"/>
      <c r="C81" s="79">
        <f>SUM(C77:C80)</f>
        <v>1244594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5"/>
      <c r="S81" s="35"/>
      <c r="T81" s="35"/>
      <c r="U81" s="35"/>
      <c r="X81" s="34">
        <f t="array" ref="X81">SUM(C77:C80*(1+U77:U80))</f>
        <v>1279442.632</v>
      </c>
      <c r="Z81" s="34">
        <f>X81-C81</f>
        <v>34848.631999999983</v>
      </c>
      <c r="AA81" s="34"/>
      <c r="AB81" s="9"/>
      <c r="AC81" s="9"/>
      <c r="AD81" s="9"/>
      <c r="AE81" s="9"/>
      <c r="AF81" s="9"/>
      <c r="AG81" s="9"/>
      <c r="AH81" s="9"/>
      <c r="AI81" s="9"/>
    </row>
    <row r="82" spans="1:36">
      <c r="A82" s="82"/>
      <c r="B82" s="82"/>
      <c r="C82" s="80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5"/>
      <c r="S82" s="35"/>
      <c r="T82" s="35"/>
      <c r="U82" s="35"/>
      <c r="Y82" s="38"/>
      <c r="Z82" s="39"/>
      <c r="AA82" s="9"/>
      <c r="AB82" s="9"/>
      <c r="AC82" s="9"/>
      <c r="AD82" s="9"/>
      <c r="AE82" s="9"/>
      <c r="AF82" s="9"/>
      <c r="AG82" s="9"/>
      <c r="AH82" s="9"/>
      <c r="AI82" s="9"/>
    </row>
    <row r="83" spans="1:36">
      <c r="A83" s="83" t="s">
        <v>103</v>
      </c>
      <c r="B83" s="83"/>
      <c r="C83" s="84">
        <f>C81+C74</f>
        <v>1253431</v>
      </c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6"/>
      <c r="S83" s="86"/>
      <c r="T83" s="86"/>
      <c r="U83" s="87">
        <f t="array" ref="U83">SUM(C73*U73,C77:C79*U77:U79)/SUM(C73,C77:C79)</f>
        <v>2.8000000000000025E-2</v>
      </c>
      <c r="V83" s="92"/>
      <c r="W83" s="92"/>
      <c r="X83" s="84">
        <f>X81+X74</f>
        <v>1288527.068</v>
      </c>
      <c r="Y83" s="84">
        <f>X83</f>
        <v>1288527.068</v>
      </c>
      <c r="Z83" s="84">
        <f>Z81+Z74</f>
        <v>35096.067999999985</v>
      </c>
      <c r="AA83" s="80"/>
      <c r="AB83" s="9"/>
      <c r="AC83" s="9"/>
      <c r="AD83" s="9"/>
      <c r="AE83" s="9"/>
      <c r="AF83" s="9"/>
      <c r="AG83" s="9"/>
      <c r="AH83" s="9"/>
      <c r="AI83" s="9"/>
    </row>
    <row r="84" spans="1:36"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5"/>
      <c r="S84" s="35"/>
      <c r="T84" s="35"/>
      <c r="U84" s="35"/>
      <c r="Z84" s="39"/>
      <c r="AA84" s="39"/>
      <c r="AB84" s="9"/>
      <c r="AC84" s="9"/>
      <c r="AD84" s="9"/>
      <c r="AE84" s="9"/>
      <c r="AF84" s="9"/>
      <c r="AG84" s="9"/>
      <c r="AH84" s="9"/>
      <c r="AI84" s="9"/>
    </row>
    <row r="85" spans="1:36" ht="15.75" thickBot="1">
      <c r="A85" s="93" t="s">
        <v>104</v>
      </c>
      <c r="B85" s="93"/>
      <c r="C85" s="94">
        <f>C83+C69</f>
        <v>18225363</v>
      </c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6"/>
      <c r="S85" s="96"/>
      <c r="T85" s="96"/>
      <c r="U85" s="97">
        <f>(C69*U69+C83*U83)/(C69+C83)</f>
        <v>6.8641039972814871E-2</v>
      </c>
      <c r="V85" s="98"/>
      <c r="W85" s="98"/>
      <c r="X85" s="98"/>
      <c r="Y85" s="94">
        <f>Y83+Y69</f>
        <v>19563017.246383548</v>
      </c>
      <c r="Z85" s="94">
        <f>Z83+Z69</f>
        <v>1337654.2463835473</v>
      </c>
      <c r="AA85" s="80"/>
      <c r="AB85" s="9"/>
      <c r="AC85" s="9"/>
      <c r="AD85" s="9"/>
      <c r="AE85" s="9"/>
      <c r="AF85" s="9"/>
      <c r="AG85" s="9"/>
      <c r="AH85" s="9"/>
      <c r="AI85" s="9"/>
    </row>
    <row r="86" spans="1:36" ht="15.75" thickTop="1">
      <c r="Z86" s="39"/>
      <c r="AA86" s="39"/>
      <c r="AB86" s="9"/>
      <c r="AC86" s="9"/>
      <c r="AD86" s="9"/>
      <c r="AE86" s="9"/>
      <c r="AF86" s="9"/>
      <c r="AG86" s="9"/>
      <c r="AH86" s="9"/>
      <c r="AI86" s="9"/>
    </row>
    <row r="87" spans="1:36">
      <c r="A87" s="99" t="s">
        <v>20</v>
      </c>
      <c r="B87" s="100" t="s">
        <v>105</v>
      </c>
      <c r="C87" s="100" t="s">
        <v>106</v>
      </c>
      <c r="D87" s="100" t="s">
        <v>107</v>
      </c>
      <c r="AB87" s="9"/>
      <c r="AC87" s="9"/>
      <c r="AD87" s="9"/>
      <c r="AE87" s="9"/>
      <c r="AF87" s="9"/>
      <c r="AG87" s="9"/>
      <c r="AH87" s="9"/>
      <c r="AI87" s="9"/>
    </row>
    <row r="88" spans="1:36" s="22" customFormat="1">
      <c r="A88" s="22" t="s">
        <v>108</v>
      </c>
      <c r="B88" s="22" t="s">
        <v>41</v>
      </c>
      <c r="C88" s="101">
        <v>48000</v>
      </c>
      <c r="Q88" s="102"/>
    </row>
    <row r="89" spans="1:36">
      <c r="A89" s="22"/>
      <c r="B89" s="22"/>
      <c r="C89" s="52"/>
      <c r="D89" s="22"/>
      <c r="E89" s="22"/>
      <c r="F89" s="22"/>
      <c r="P89" s="103"/>
      <c r="AI89" s="104"/>
    </row>
    <row r="90" spans="1:36">
      <c r="A90" s="22"/>
      <c r="B90" s="22"/>
      <c r="C90" s="52"/>
      <c r="D90" s="22"/>
      <c r="E90" s="22"/>
      <c r="F90" s="22"/>
      <c r="P90" s="103"/>
      <c r="Y90" s="104"/>
    </row>
    <row r="91" spans="1:36">
      <c r="A91" s="22"/>
      <c r="B91" s="22"/>
      <c r="C91" s="52"/>
      <c r="D91" s="22"/>
      <c r="E91" s="22"/>
      <c r="F91" s="22"/>
      <c r="P91" s="103"/>
      <c r="V91" s="104"/>
      <c r="Y91" s="104"/>
      <c r="AC91" s="104"/>
      <c r="AJ91" s="104"/>
    </row>
    <row r="92" spans="1:36">
      <c r="B92" s="22"/>
      <c r="C92" s="52"/>
      <c r="D92" s="22"/>
      <c r="E92" s="22"/>
      <c r="F92" s="22"/>
      <c r="J92" s="104"/>
      <c r="P92" s="103"/>
      <c r="V92" s="104"/>
      <c r="Y92" s="104"/>
    </row>
    <row r="93" spans="1:36">
      <c r="B93" s="22"/>
      <c r="C93" s="52"/>
      <c r="D93" s="22"/>
      <c r="E93" s="22"/>
      <c r="F93" s="22"/>
      <c r="P93" s="103"/>
      <c r="V93" s="104"/>
      <c r="Y93" s="104"/>
      <c r="AC93" s="104"/>
    </row>
    <row r="94" spans="1:36">
      <c r="A94" s="22"/>
      <c r="B94" s="22"/>
      <c r="C94" s="52"/>
      <c r="D94" s="22"/>
      <c r="E94" s="22"/>
      <c r="F94" s="22"/>
      <c r="P94" s="103"/>
      <c r="V94" s="104"/>
      <c r="Y94" s="104"/>
      <c r="AF94" s="104"/>
      <c r="AJ94" s="104"/>
    </row>
    <row r="95" spans="1:36">
      <c r="A95" s="22"/>
      <c r="B95" s="22"/>
      <c r="C95" s="52"/>
      <c r="D95" s="22"/>
      <c r="E95" s="22"/>
      <c r="F95" s="22"/>
      <c r="P95" s="103"/>
      <c r="R95" s="104"/>
      <c r="V95" s="104"/>
      <c r="Y95" s="104"/>
      <c r="AF95" s="104"/>
      <c r="AJ95" s="104"/>
    </row>
    <row r="96" spans="1:36">
      <c r="A96" s="22"/>
      <c r="B96" s="22"/>
      <c r="C96" s="52"/>
      <c r="D96" s="22"/>
      <c r="E96" s="22"/>
      <c r="F96" s="22"/>
      <c r="L96" s="104"/>
      <c r="P96" s="103"/>
      <c r="V96" s="104"/>
      <c r="X96" s="104"/>
      <c r="Y96" s="104"/>
      <c r="AF96" s="104"/>
      <c r="AJ96" s="104"/>
    </row>
    <row r="97" spans="1:36">
      <c r="A97" s="22"/>
      <c r="B97" s="22"/>
      <c r="C97" s="52"/>
      <c r="D97" s="22"/>
      <c r="E97" s="22"/>
      <c r="F97" s="22"/>
      <c r="L97" s="104"/>
      <c r="P97" s="103"/>
      <c r="V97" s="104"/>
      <c r="X97" s="104"/>
      <c r="Y97" s="104"/>
      <c r="AF97" s="104"/>
      <c r="AJ97" s="104"/>
    </row>
    <row r="98" spans="1:36">
      <c r="A98" s="22"/>
      <c r="B98" s="22"/>
      <c r="C98" s="52"/>
      <c r="D98" s="22"/>
      <c r="E98" s="22"/>
      <c r="F98" s="22"/>
      <c r="P98" s="103"/>
    </row>
    <row r="99" spans="1:36">
      <c r="A99" s="22"/>
      <c r="B99" s="22"/>
      <c r="C99" s="52"/>
      <c r="D99" s="22"/>
      <c r="E99" s="22"/>
      <c r="F99" s="22"/>
      <c r="P99" s="103"/>
    </row>
    <row r="100" spans="1:36">
      <c r="A100" s="22"/>
      <c r="B100" s="22"/>
      <c r="C100" s="52"/>
      <c r="D100" s="22"/>
      <c r="E100" s="22"/>
      <c r="F100" s="22"/>
      <c r="P100" s="103"/>
    </row>
    <row r="101" spans="1:36">
      <c r="A101" s="22"/>
      <c r="B101" s="22"/>
      <c r="C101" s="52"/>
      <c r="D101" s="22"/>
      <c r="E101" s="22"/>
      <c r="F101" s="22"/>
      <c r="P101" s="103"/>
    </row>
    <row r="102" spans="1:36">
      <c r="A102" s="22"/>
      <c r="B102" s="22"/>
      <c r="C102" s="52"/>
      <c r="D102" s="22"/>
      <c r="E102" s="22"/>
      <c r="F102" s="22"/>
      <c r="P102" s="103"/>
    </row>
    <row r="103" spans="1:36">
      <c r="B103" s="22"/>
      <c r="C103" s="52"/>
      <c r="D103" s="22"/>
      <c r="E103" s="22"/>
      <c r="F103" s="22"/>
      <c r="P103" s="103"/>
      <c r="T103" s="104"/>
    </row>
    <row r="104" spans="1:36">
      <c r="B104" s="22"/>
      <c r="C104" s="52"/>
      <c r="D104" s="22"/>
      <c r="E104" s="22"/>
      <c r="F104" s="22"/>
      <c r="P104" s="103"/>
    </row>
    <row r="105" spans="1:36">
      <c r="A105" s="105" t="s">
        <v>109</v>
      </c>
      <c r="B105" s="105"/>
      <c r="C105" s="106">
        <f>SUM(C88:C104)</f>
        <v>48000</v>
      </c>
      <c r="D105" s="22"/>
      <c r="E105" s="22"/>
      <c r="F105" s="22"/>
      <c r="P105" s="103"/>
    </row>
    <row r="106" spans="1:36">
      <c r="A106" s="22"/>
      <c r="B106" s="22"/>
      <c r="C106" s="22"/>
      <c r="D106" s="22"/>
      <c r="E106" s="22"/>
      <c r="F106" s="22"/>
    </row>
  </sheetData>
  <mergeCells count="1">
    <mergeCell ref="D1:Z1"/>
  </mergeCells>
  <pageMargins left="0.25" right="0.25" top="0.75" bottom="0.75" header="0.3" footer="0.3"/>
  <pageSetup paperSize="8" scale="3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Health Vote 2019-20 pre-Budget</vt:lpstr>
      <vt:lpstr>'Health Vote 2019-20 pre-Budget'!_CPI19</vt:lpstr>
      <vt:lpstr>'Health Vote 2019-20 pre-Budget'!AllIndustriesWageIncr19</vt:lpstr>
      <vt:lpstr>'Health Vote 2019-20 pre-Budget'!BirthGrowth19</vt:lpstr>
      <vt:lpstr>'Health Vote 2019-20 pre-Budget'!CapitalGoodsProportion19</vt:lpstr>
      <vt:lpstr>'Health Vote 2019-20 pre-Budget'!CapitalPI19</vt:lpstr>
      <vt:lpstr>'Health Vote 2019-20 pre-Budget'!ChildPopGrowth19</vt:lpstr>
      <vt:lpstr>'Health Vote 2019-20 pre-Budget'!DHBFundedProportion19</vt:lpstr>
      <vt:lpstr>'Health Vote 2019-20 pre-Budget'!DHBFundedWageIncreases19</vt:lpstr>
      <vt:lpstr>'Health Vote 2019-20 pre-Budget'!DHBProviderProportion19</vt:lpstr>
      <vt:lpstr>'Health Vote 2019-20 pre-Budget'!DHBProviderWageIncrease19</vt:lpstr>
      <vt:lpstr>'Health Vote 2019-20 pre-Budget'!LabourProportion19</vt:lpstr>
      <vt:lpstr>'Health Vote 2019-20 pre-Budget'!MaoriPopulationGrowth19</vt:lpstr>
      <vt:lpstr>'Health Vote 2019-20 pre-Budget'!MedicalProportion19</vt:lpstr>
      <vt:lpstr>'Health Vote 2019-20 pre-Budget'!MedicalSalaryIncreases19</vt:lpstr>
      <vt:lpstr>'Health Vote 2019-20 pre-Budget'!NDGandProdSwitch19</vt:lpstr>
      <vt:lpstr>'Health Vote 2019-20 pre-Budget'!NonDemographicGrowth19</vt:lpstr>
      <vt:lpstr>'Health Vote 2019-20 pre-Budget'!NonLabourGeneralCostIncreases19</vt:lpstr>
      <vt:lpstr>'Health Vote 2019-20 pre-Budget'!NonLabourHealthServicesCostIncrease19</vt:lpstr>
      <vt:lpstr>'Health Vote 2019-20 pre-Budget'!NonLabourProportion19</vt:lpstr>
      <vt:lpstr>'Health Vote 2019-20 pre-Budget'!NursingProportion19</vt:lpstr>
      <vt:lpstr>'Health Vote 2019-20 pre-Budget'!NursingSalaryIncrease19</vt:lpstr>
      <vt:lpstr>'Health Vote 2019-20 pre-Budget'!OtherDHBWageIncreases19</vt:lpstr>
      <vt:lpstr>'Health Vote 2019-20 pre-Budget'!OtherWageProportion19</vt:lpstr>
      <vt:lpstr>'Health Vote 2019-20 pre-Budget'!OtherWagesIncreases19</vt:lpstr>
      <vt:lpstr>'Health Vote 2019-20 pre-Budget'!PopulationGrowth19</vt:lpstr>
      <vt:lpstr>'Health Vote 2019-20 pre-Budget'!ProductivityGrowth19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 Rosenberg</cp:lastModifiedBy>
  <dcterms:created xsi:type="dcterms:W3CDTF">2019-05-22T12:31:15Z</dcterms:created>
  <dcterms:modified xsi:type="dcterms:W3CDTF">2019-05-22T21:37:29Z</dcterms:modified>
</cp:coreProperties>
</file>