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charts/chart10.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 not remove - Bill's\CTU\Health\Health vote\"/>
    </mc:Choice>
  </mc:AlternateContent>
  <bookViews>
    <workbookView xWindow="0" yWindow="0" windowWidth="26775" windowHeight="10860" tabRatio="801"/>
  </bookViews>
  <sheets>
    <sheet name="Health Vote 2019-20 post-Budget" sheetId="6" r:id="rId1"/>
    <sheet name="2019 Health appropriations" sheetId="7" r:id="rId2"/>
    <sheet name="Notes 2019-20 post-Budget" sheetId="8" r:id="rId3"/>
    <sheet name="Multiyear" sheetId="1" r:id="rId4"/>
    <sheet name="Compared to Total Exp, GDP" sheetId="2" r:id="rId5"/>
    <sheet name="DHB Stats" sheetId="3" r:id="rId6"/>
    <sheet name="Demographics" sheetId="4" r:id="rId7"/>
    <sheet name="Wage, price statistics" sheetId="5"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CPI19" localSheetId="0">'Health Vote 2019-20 post-Budget'!$AJ$4</definedName>
    <definedName name="AgingFunding">Multiyear!$AG$119:$AQ$119</definedName>
    <definedName name="AllIndustriesWageIncr19" localSheetId="0">'Health Vote 2019-20 post-Budget'!$AO$4</definedName>
    <definedName name="BirthGrowth10">'[1]Health Vote 2010-11'!$AG$4</definedName>
    <definedName name="BirthGrowth19" localSheetId="0">'Health Vote 2019-20 post-Budget'!$AK$4</definedName>
    <definedName name="CapitalGoodsProportion10">'[1]Health Vote 2010-11'!$P$4</definedName>
    <definedName name="CapitalGoodsProportion19" localSheetId="0">'Health Vote 2019-20 post-Budget'!$R$4</definedName>
    <definedName name="CapitalPI10">'[1]Health Vote 2010-11'!$Q$4</definedName>
    <definedName name="CapitalPI19" localSheetId="0">'Health Vote 2019-20 post-Budget'!$S$4</definedName>
    <definedName name="ChildPopGrowth10">'[1]Health Vote 2010-11'!$AH$4</definedName>
    <definedName name="ChildPopGrowth19" localSheetId="0">'Health Vote 2019-20 post-Budget'!$AL$4</definedName>
    <definedName name="CostOfSettlements1617">'[1]Notes 2016-17 pre-Budget'!$D$28</definedName>
    <definedName name="DHBFundedProportion12">'[1]Health Vote 2012-13'!$K$4</definedName>
    <definedName name="DHBFundedProportion19" localSheetId="0">'Health Vote 2019-20 post-Budget'!$K$4</definedName>
    <definedName name="DHBFundedWageIncreases19" localSheetId="0">'Health Vote 2019-20 post-Budget'!$J$4</definedName>
    <definedName name="DHBProviderProportion13">'[1]Health Vote 2013-14'!$AQ$4</definedName>
    <definedName name="DHBProviderProportion19" localSheetId="0">'Health Vote 2019-20 post-Budget'!$AP$4</definedName>
    <definedName name="DHBProviderWageIncrease16">'[1]Health Vote 2016-17 pre-Budget'!$AF$4</definedName>
    <definedName name="DHBProviderWageIncrease19" localSheetId="0">'Health Vote 2019-20 post-Budget'!$AM$4</definedName>
    <definedName name="HighMinWageSectorWageIncrease">'[1]Health Vote 2016-17 pre-Budget'!$AJ$4</definedName>
    <definedName name="LabourProportion10">'[1]Health Vote 2010-11'!$AE$4</definedName>
    <definedName name="LabourProportion19" localSheetId="0">'Health Vote 2019-20 post-Budget'!$AI$4</definedName>
    <definedName name="MaoriPopGrowth17">'[1]Health Vote 2017-18 post-Budget'!$AS$4</definedName>
    <definedName name="MaoriPopulationGrowth18">'[1]Health Vote 2018-19 pre-Budget'!$AK$4</definedName>
    <definedName name="MaoriPopulationGrowth19" localSheetId="0">'Health Vote 2019-20 post-Budget'!$AR$4</definedName>
    <definedName name="MedicalProportion10">'[1]Health Vote 2010-11'!$E$4</definedName>
    <definedName name="MedicalProportion19" localSheetId="0">'Health Vote 2019-20 post-Budget'!$E$4</definedName>
    <definedName name="MedicalSalaryIncreases10">'[1]Health Vote 2010-11'!$D$4</definedName>
    <definedName name="MedicalSalaryIncreases19" localSheetId="0">'Health Vote 2019-20 post-Budget'!$D$4</definedName>
    <definedName name="MinWageProportion">Multiyear!$R$100</definedName>
    <definedName name="NDGandProdSwitch">'[1]Health Vote 2012-13'!$C$1</definedName>
    <definedName name="NDGandProdSwitch10">'[1]Health Vote 2010-11 - post'!$C$1</definedName>
    <definedName name="NDGandProdSwitch19" localSheetId="0">'Health Vote 2019-20 post-Budget'!$C$1</definedName>
    <definedName name="NewCommitmentsFunding">Multiyear!$AG$122:$AQ$122</definedName>
    <definedName name="NonDemographicGrowth10">'[1]Health Vote 2010-11'!$N$4</definedName>
    <definedName name="NonDemographicGrowth19" localSheetId="0">'Health Vote 2019-20 post-Budget'!$P$4</definedName>
    <definedName name="NonDHBWageIncreases12">'[1]Health Vote 2012-13'!$J$4</definedName>
    <definedName name="NonLabourGeneralCostIncreases10">'[1]Health Vote 2010-11'!$L$4</definedName>
    <definedName name="NonLabourGeneralCostIncreases19" localSheetId="0">'Health Vote 2019-20 post-Budget'!$N$4</definedName>
    <definedName name="NonLabourHealthServicesCostIncrease10">'[1]Health Vote 2010-11'!$J$4</definedName>
    <definedName name="NonLabourHealthServicesCostIncrease19" localSheetId="0">'Health Vote 2019-20 post-Budget'!$L$4</definedName>
    <definedName name="NonLabourProportion10">'[1]Health Vote 2010-11'!$K$4</definedName>
    <definedName name="NonLabourProportion19" localSheetId="0">'Health Vote 2019-20 post-Budget'!$M$4</definedName>
    <definedName name="NonProviderPriceIndex">Multiyear!$R$99</definedName>
    <definedName name="NonProviderWageSector">Multiyear!$R$97</definedName>
    <definedName name="NonWageCostsFunding">Multiyear!$AG$121:$AQ$121</definedName>
    <definedName name="NursingProportion10">'[1]Health Vote 2010-11'!$G$4</definedName>
    <definedName name="NursingProportion19" localSheetId="0">'Health Vote 2019-20 post-Budget'!$G$4</definedName>
    <definedName name="NursingSalaryIncrease">'[1]Health Vote 2010-11'!$F$4</definedName>
    <definedName name="NursingSalaryIncrease19" localSheetId="0">'Health Vote 2019-20 post-Budget'!$F$4</definedName>
    <definedName name="OtherDHBWageIncreases19" localSheetId="0">'Health Vote 2019-20 post-Budget'!$H$4</definedName>
    <definedName name="OtherWageIncreases10">'[1]Health Vote 2010-11'!$H$4</definedName>
    <definedName name="OtherWageProportion10">'[1]Health Vote 2010-11'!$I$4</definedName>
    <definedName name="OtherWageProportion19" localSheetId="0">'Health Vote 2019-20 post-Budget'!$I$4</definedName>
    <definedName name="OtherWagesIncreases17">'[1]Health Vote 2017-18 pre-Budget'!$AK$4</definedName>
    <definedName name="OtherWagesIncreases19" localSheetId="0">'Health Vote 2019-20 post-Budget'!$AQ$4</definedName>
    <definedName name="PopIncreasesFunding">Multiyear!$AG$118:$AQ$118</definedName>
    <definedName name="PopulationGrowth10">'[1]Health Vote 2010-11'!$M$4</definedName>
    <definedName name="PopulationGrowth19" localSheetId="0">'Health Vote 2019-20 post-Budget'!$O$4</definedName>
    <definedName name="PriceIndexSelection">Multiyear!$Q$154:$Q$159</definedName>
    <definedName name="PricesData">'Wage, price statistics'!$B$3:$T$39</definedName>
    <definedName name="ProductivityGrowth10">'[1]Health Vote 2010-11'!$O$4</definedName>
    <definedName name="ProductivityGrowth19" localSheetId="0">'Health Vote 2019-20 post-Budget'!$Q$4</definedName>
    <definedName name="ProviderPriceIndex">Multiyear!$R$98</definedName>
    <definedName name="ProviderWageSector">Multiyear!$R$96</definedName>
    <definedName name="TotalNeed">Multiyear!$R$82:$AB$82</definedName>
    <definedName name="WageFunding">Multiyear!$AG$120:$AQ$120</definedName>
    <definedName name="WagesData">'Wage, price statistics'!$AC$3:$AR$43</definedName>
    <definedName name="WageSelection">Multiyear!$Q$146:$Q$153</definedName>
    <definedName name="ZeroAging">Multiyear!$AC$125</definedName>
    <definedName name="ZeroBirths">Multiyear!$AC$127</definedName>
    <definedName name="ZeroChildPop">Multiyear!$AC$128</definedName>
    <definedName name="ZeroCostWeightedDemog">Multiyear!$AC$126</definedName>
    <definedName name="ZeroDHBFunderArmWage">Multiyear!$AC$137</definedName>
    <definedName name="ZeroDHBProviderWage">Multiyear!$AC$136</definedName>
    <definedName name="ZeroExplicitWageRises">Multiyear!$AC$133</definedName>
    <definedName name="ZeroMaoriPop">Multiyear!$AC$129</definedName>
    <definedName name="ZeroMentalHealthClients">Multiyear!$AC$130</definedName>
    <definedName name="ZeroNetInitiatives">Multiyear!$AC$132</definedName>
    <definedName name="ZeroNonDHBProviderWage">Multiyear!$AC$138</definedName>
    <definedName name="ZeroNonProviderPrices">Multiyear!$AC$142</definedName>
    <definedName name="ZeroPop">Multiyear!$AC$124</definedName>
    <definedName name="ZeroProviderPrices">Multiyear!$AC$140</definedName>
    <definedName name="ZeroResidentialCarePrices">Multiyear!$AC$141</definedName>
    <definedName name="ZeroWageInHighMinWageSectors">Multiyear!$AC$139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30" i="1" l="1"/>
  <c r="T130" i="1"/>
  <c r="U130" i="1"/>
  <c r="V130" i="1"/>
  <c r="W130" i="1"/>
  <c r="X130" i="1"/>
  <c r="AB132" i="1"/>
  <c r="AA132" i="1"/>
  <c r="Z132" i="1"/>
  <c r="Y132" i="1"/>
  <c r="X132" i="1"/>
  <c r="W132" i="1"/>
  <c r="V132" i="1"/>
  <c r="U132" i="1"/>
  <c r="T132" i="1"/>
  <c r="S132" i="1"/>
  <c r="B84" i="8"/>
  <c r="H4" i="6"/>
  <c r="AB117" i="1"/>
  <c r="AB114" i="1"/>
  <c r="B263" i="7"/>
  <c r="B4" i="6"/>
  <c r="C184" i="8" a="1"/>
  <c r="C184" i="8" s="1"/>
  <c r="C171" i="8" a="1"/>
  <c r="C171" i="8" s="1"/>
  <c r="H169" i="8"/>
  <c r="F169" i="8"/>
  <c r="E169" i="8"/>
  <c r="D169" i="8"/>
  <c r="C169" i="8"/>
  <c r="B169" i="8"/>
  <c r="H157" i="8"/>
  <c r="F157" i="8"/>
  <c r="E157" i="8"/>
  <c r="D157" i="8"/>
  <c r="C157" i="8"/>
  <c r="F147" i="8"/>
  <c r="E147" i="8"/>
  <c r="D147" i="8"/>
  <c r="C147" i="8"/>
  <c r="C183" i="8" s="1" a="1"/>
  <c r="C183" i="8" s="1"/>
  <c r="H141" i="8"/>
  <c r="H183" i="8" s="1" a="1"/>
  <c r="H183" i="8" s="1"/>
  <c r="G141" i="8"/>
  <c r="F141" i="8"/>
  <c r="E141" i="8"/>
  <c r="D141" i="8"/>
  <c r="C141" i="8"/>
  <c r="F131" i="8"/>
  <c r="E131" i="8"/>
  <c r="D131" i="8"/>
  <c r="C131" i="8"/>
  <c r="F125" i="8"/>
  <c r="F184" i="8" s="1" a="1"/>
  <c r="F184" i="8" s="1"/>
  <c r="E125" i="8"/>
  <c r="E185" i="8" s="1" a="1"/>
  <c r="E185" i="8" s="1"/>
  <c r="D125" i="8"/>
  <c r="D184" i="8" s="1" a="1"/>
  <c r="D184" i="8" s="1"/>
  <c r="C125" i="8"/>
  <c r="C180" i="8" s="1" a="1"/>
  <c r="C180" i="8" s="1"/>
  <c r="B125" i="8"/>
  <c r="B178" i="8" s="1" a="1"/>
  <c r="B178" i="8" s="1"/>
  <c r="D85" i="8"/>
  <c r="C82" i="8"/>
  <c r="C79" i="8"/>
  <c r="D82" i="8" s="1"/>
  <c r="B67" i="8"/>
  <c r="J65" i="8"/>
  <c r="C54" i="8"/>
  <c r="B53" i="8"/>
  <c r="J53" i="8" s="1"/>
  <c r="G52" i="8"/>
  <c r="B52" i="8"/>
  <c r="J52" i="8" s="1"/>
  <c r="K52" i="8" s="1"/>
  <c r="C49" i="8"/>
  <c r="M48" i="8"/>
  <c r="J48" i="8"/>
  <c r="I48" i="8"/>
  <c r="I49" i="8" s="1"/>
  <c r="H48" i="8"/>
  <c r="M47" i="8"/>
  <c r="H47" i="8"/>
  <c r="J47" i="8" s="1"/>
  <c r="J49" i="8" s="1"/>
  <c r="N37" i="8"/>
  <c r="C37" i="8"/>
  <c r="C28" i="8"/>
  <c r="C26" i="8"/>
  <c r="B21" i="8"/>
  <c r="C21" i="8" s="1"/>
  <c r="C16" i="8"/>
  <c r="B16" i="8"/>
  <c r="C15" i="8"/>
  <c r="B15" i="8"/>
  <c r="C14" i="8"/>
  <c r="O7" i="8" s="1"/>
  <c r="B14" i="8"/>
  <c r="N7" i="8" s="1"/>
  <c r="C13" i="8"/>
  <c r="B13" i="8"/>
  <c r="C10" i="8"/>
  <c r="D37" i="8" s="1"/>
  <c r="B10" i="8"/>
  <c r="D26" i="8" s="1"/>
  <c r="O5" i="8"/>
  <c r="N5" i="8"/>
  <c r="C230" i="7"/>
  <c r="C226" i="7"/>
  <c r="C215" i="7"/>
  <c r="C192" i="7"/>
  <c r="G113" i="6" s="1"/>
  <c r="C155" i="7"/>
  <c r="C150" i="7"/>
  <c r="C149" i="7"/>
  <c r="C169" i="7" s="1"/>
  <c r="G108" i="7" a="1"/>
  <c r="G108" i="7" s="1"/>
  <c r="F108" i="7" a="1"/>
  <c r="F108" i="7" s="1"/>
  <c r="E108" i="7" a="1"/>
  <c r="E108" i="7" s="1"/>
  <c r="D108" i="7" a="1"/>
  <c r="D108" i="7" s="1"/>
  <c r="E102" i="7"/>
  <c r="G101" i="7"/>
  <c r="F101" i="7"/>
  <c r="E101" i="7"/>
  <c r="D101" i="7"/>
  <c r="F100" i="7"/>
  <c r="E100" i="7"/>
  <c r="D100" i="7"/>
  <c r="E99" i="7"/>
  <c r="D99" i="7"/>
  <c r="G94" i="7" a="1"/>
  <c r="G94" i="7" s="1"/>
  <c r="G95" i="7" s="1"/>
  <c r="G97" i="7" s="1"/>
  <c r="F94" i="7" a="1"/>
  <c r="F94" i="7" s="1"/>
  <c r="F95" i="7" s="1"/>
  <c r="F97" i="7" s="1"/>
  <c r="E94" i="7" a="1"/>
  <c r="E94" i="7" s="1"/>
  <c r="E95" i="7" s="1"/>
  <c r="E97" i="7" s="1"/>
  <c r="D94" i="7"/>
  <c r="D95" i="7" s="1"/>
  <c r="D97" i="7" s="1"/>
  <c r="D94" i="7" a="1"/>
  <c r="X23" i="7"/>
  <c r="W23" i="7"/>
  <c r="V23" i="7"/>
  <c r="V12" i="2" s="1"/>
  <c r="U23" i="7"/>
  <c r="R23" i="7"/>
  <c r="Q23" i="7"/>
  <c r="P23" i="7"/>
  <c r="O23" i="7"/>
  <c r="N23" i="7"/>
  <c r="M23" i="7"/>
  <c r="E121" i="6"/>
  <c r="K121" i="6" s="1"/>
  <c r="W69" i="6" s="1"/>
  <c r="C121" i="6"/>
  <c r="I118" i="6"/>
  <c r="C117" i="6"/>
  <c r="B117" i="6"/>
  <c r="A117" i="6"/>
  <c r="E117" i="6" s="1" a="1"/>
  <c r="E117" i="6" s="1"/>
  <c r="E116" i="6" a="1"/>
  <c r="E116" i="6" s="1"/>
  <c r="K116" i="6" s="1"/>
  <c r="C116" i="6"/>
  <c r="A116" i="6"/>
  <c r="E115" i="6" a="1"/>
  <c r="E115" i="6" s="1"/>
  <c r="K115" i="6" s="1"/>
  <c r="C115" i="6"/>
  <c r="A115" i="6"/>
  <c r="C114" i="6"/>
  <c r="A114" i="6"/>
  <c r="E114" i="6" s="1" a="1"/>
  <c r="E114" i="6" s="1"/>
  <c r="K114" i="6" s="1"/>
  <c r="C113" i="6"/>
  <c r="A113" i="6"/>
  <c r="E113" i="6" s="1" a="1"/>
  <c r="E113" i="6" s="1"/>
  <c r="K113" i="6" s="1"/>
  <c r="C112" i="6"/>
  <c r="A112" i="6"/>
  <c r="E112" i="6" s="1" a="1"/>
  <c r="E112" i="6" s="1"/>
  <c r="K112" i="6" s="1"/>
  <c r="C111" i="6"/>
  <c r="A111" i="6"/>
  <c r="E111" i="6" s="1" a="1"/>
  <c r="E111" i="6" s="1"/>
  <c r="K111" i="6" s="1"/>
  <c r="C110" i="6"/>
  <c r="A110" i="6"/>
  <c r="E110" i="6" s="1" a="1"/>
  <c r="E110" i="6" s="1"/>
  <c r="K110" i="6" s="1"/>
  <c r="C109" i="6"/>
  <c r="A109" i="6"/>
  <c r="E109" i="6" s="1" a="1"/>
  <c r="E109" i="6" s="1"/>
  <c r="K109" i="6" s="1"/>
  <c r="C108" i="6"/>
  <c r="A108" i="6"/>
  <c r="E108" i="6" s="1" a="1"/>
  <c r="E108" i="6" s="1"/>
  <c r="K108" i="6" s="1"/>
  <c r="W46" i="6" s="1"/>
  <c r="C107" i="6"/>
  <c r="A107" i="6"/>
  <c r="E107" i="6" s="1" a="1"/>
  <c r="E107" i="6" s="1"/>
  <c r="K107" i="6" s="1"/>
  <c r="E106" i="6" a="1"/>
  <c r="E106" i="6" s="1"/>
  <c r="K106" i="6" s="1"/>
  <c r="C106" i="6"/>
  <c r="A106" i="6"/>
  <c r="C105" i="6"/>
  <c r="A105" i="6"/>
  <c r="E105" i="6" s="1" a="1"/>
  <c r="E105" i="6" s="1"/>
  <c r="K105" i="6" s="1"/>
  <c r="C104" i="6"/>
  <c r="A104" i="6"/>
  <c r="E104" i="6" s="1" a="1"/>
  <c r="E104" i="6" s="1"/>
  <c r="K104" i="6" s="1"/>
  <c r="C103" i="6"/>
  <c r="A103" i="6"/>
  <c r="E103" i="6" s="1" a="1"/>
  <c r="E103" i="6" s="1"/>
  <c r="K103" i="6" s="1"/>
  <c r="C102" i="6"/>
  <c r="A102" i="6"/>
  <c r="E102" i="6" s="1" a="1"/>
  <c r="E102" i="6" s="1"/>
  <c r="K102" i="6" s="1"/>
  <c r="E101" i="6"/>
  <c r="K101" i="6" s="1"/>
  <c r="C101" i="6"/>
  <c r="A101" i="6"/>
  <c r="E101" i="6" s="1" a="1"/>
  <c r="D100" i="6"/>
  <c r="C100" i="6"/>
  <c r="B100" i="6"/>
  <c r="A100" i="6"/>
  <c r="E100" i="6" s="1" a="1"/>
  <c r="E100" i="6" s="1"/>
  <c r="K99" i="6"/>
  <c r="C99" i="6"/>
  <c r="A99" i="6"/>
  <c r="K98" i="6"/>
  <c r="F98" i="6"/>
  <c r="C98" i="6"/>
  <c r="D98" i="6" s="1"/>
  <c r="A98" i="6"/>
  <c r="I95" i="6"/>
  <c r="I123" i="6" s="1"/>
  <c r="E95" i="6"/>
  <c r="E92" i="6" a="1"/>
  <c r="E92" i="6" s="1"/>
  <c r="K92" i="6" s="1"/>
  <c r="AG83" i="6"/>
  <c r="AE83" i="6"/>
  <c r="AD83" i="6"/>
  <c r="AC83" i="6"/>
  <c r="AC85" i="6" s="1"/>
  <c r="AG82" i="6"/>
  <c r="AF82" i="6"/>
  <c r="U82" i="6"/>
  <c r="S82" i="6"/>
  <c r="R82" i="6"/>
  <c r="Y82" i="6"/>
  <c r="AG81" i="6"/>
  <c r="S81" i="6"/>
  <c r="U81" i="6" s="1"/>
  <c r="R81" i="6"/>
  <c r="AF81" i="6"/>
  <c r="AG80" i="6"/>
  <c r="AF80" i="6"/>
  <c r="S80" i="6"/>
  <c r="R80" i="6"/>
  <c r="U80" i="6" s="1"/>
  <c r="AG79" i="6"/>
  <c r="S79" i="6"/>
  <c r="R79" i="6"/>
  <c r="U79" i="6" s="1"/>
  <c r="AF79" i="6"/>
  <c r="AE76" i="6"/>
  <c r="AG76" i="6" s="1"/>
  <c r="AD76" i="6"/>
  <c r="AD85" i="6" s="1"/>
  <c r="AC76" i="6"/>
  <c r="AG75" i="6"/>
  <c r="S75" i="6"/>
  <c r="R75" i="6"/>
  <c r="U75" i="6" s="1"/>
  <c r="AG69" i="6"/>
  <c r="X69" i="6"/>
  <c r="AG68" i="6"/>
  <c r="J68" i="6"/>
  <c r="AF68" i="6"/>
  <c r="AG67" i="6"/>
  <c r="J67" i="6"/>
  <c r="AF67" i="6"/>
  <c r="AG66" i="6"/>
  <c r="Z63" i="6"/>
  <c r="Y63" i="6" a="1"/>
  <c r="Y63" i="6" s="1"/>
  <c r="U63" i="6"/>
  <c r="AG59" i="6"/>
  <c r="AE56" i="6"/>
  <c r="AC56" i="6"/>
  <c r="AI55" i="6"/>
  <c r="AG55" i="6"/>
  <c r="AF55" i="6"/>
  <c r="AG54" i="6"/>
  <c r="U54" i="6"/>
  <c r="AA54" i="6"/>
  <c r="AG53" i="6"/>
  <c r="Q53" i="6"/>
  <c r="AF53" i="6"/>
  <c r="AG52" i="6"/>
  <c r="AF52" i="6"/>
  <c r="Q52" i="6"/>
  <c r="J52" i="6"/>
  <c r="AG51" i="6"/>
  <c r="P51" i="6"/>
  <c r="J51" i="6"/>
  <c r="AG50" i="6"/>
  <c r="AG49" i="6"/>
  <c r="Q49" i="6"/>
  <c r="AG48" i="6"/>
  <c r="AF48" i="6"/>
  <c r="Q48" i="6"/>
  <c r="AG47" i="6"/>
  <c r="AF47" i="6"/>
  <c r="X47" i="6"/>
  <c r="P47" i="6"/>
  <c r="J47" i="6"/>
  <c r="AG46" i="6"/>
  <c r="Q46" i="6"/>
  <c r="J46" i="6"/>
  <c r="AG45" i="6"/>
  <c r="AF45" i="6"/>
  <c r="Q45" i="6"/>
  <c r="J45" i="6"/>
  <c r="AG44" i="6"/>
  <c r="P44" i="6"/>
  <c r="AG43" i="6"/>
  <c r="AF43" i="6"/>
  <c r="Q43" i="6"/>
  <c r="J43" i="6"/>
  <c r="AG42" i="6"/>
  <c r="AF42" i="6"/>
  <c r="P42" i="6"/>
  <c r="J42" i="6"/>
  <c r="AG41" i="6"/>
  <c r="AF41" i="6"/>
  <c r="Q41" i="6"/>
  <c r="AG40" i="6"/>
  <c r="Q40" i="6"/>
  <c r="J40" i="6"/>
  <c r="AG39" i="6"/>
  <c r="J39" i="6"/>
  <c r="AF39" i="6"/>
  <c r="AG38" i="6"/>
  <c r="AF38" i="6"/>
  <c r="X38" i="6"/>
  <c r="AG37" i="6"/>
  <c r="Q37" i="6"/>
  <c r="J37" i="6"/>
  <c r="AG36" i="6"/>
  <c r="AF36" i="6"/>
  <c r="X36" i="6"/>
  <c r="W36" i="6"/>
  <c r="AG32" i="6"/>
  <c r="AE32" i="6"/>
  <c r="C95" i="6" s="1"/>
  <c r="AD32" i="6"/>
  <c r="AD56" i="6" s="1"/>
  <c r="AC32" i="6"/>
  <c r="Q32" i="6"/>
  <c r="AG31" i="6"/>
  <c r="AF31" i="6"/>
  <c r="AG30" i="6"/>
  <c r="AF30" i="6"/>
  <c r="AG29" i="6"/>
  <c r="AF29" i="6"/>
  <c r="AG28" i="6"/>
  <c r="AF28" i="6"/>
  <c r="AG27" i="6"/>
  <c r="AF27" i="6"/>
  <c r="AG26" i="6"/>
  <c r="AF26" i="6"/>
  <c r="AG25" i="6"/>
  <c r="AF25" i="6"/>
  <c r="AG24" i="6"/>
  <c r="AF24" i="6"/>
  <c r="AG23" i="6"/>
  <c r="AF23" i="6"/>
  <c r="AG22" i="6"/>
  <c r="AF22" i="6"/>
  <c r="AG21" i="6"/>
  <c r="AF21" i="6"/>
  <c r="AG20" i="6"/>
  <c r="AF20" i="6"/>
  <c r="AG19" i="6"/>
  <c r="AF19" i="6"/>
  <c r="AG18" i="6"/>
  <c r="AF18" i="6"/>
  <c r="AG17" i="6"/>
  <c r="AF17" i="6"/>
  <c r="AG16" i="6"/>
  <c r="AF16" i="6"/>
  <c r="AG15" i="6"/>
  <c r="AF15" i="6"/>
  <c r="AG14" i="6"/>
  <c r="AF14" i="6"/>
  <c r="AG13" i="6"/>
  <c r="AF13" i="6"/>
  <c r="AG12" i="6"/>
  <c r="AF12" i="6"/>
  <c r="AE8" i="6"/>
  <c r="AD8" i="6"/>
  <c r="AD71" i="6" s="1"/>
  <c r="AC8" i="6"/>
  <c r="AC71" i="6" s="1"/>
  <c r="W8" i="6"/>
  <c r="Q8" i="6"/>
  <c r="J8" i="6"/>
  <c r="Q4" i="6"/>
  <c r="P4" i="6"/>
  <c r="N4" i="6"/>
  <c r="N53" i="6" s="1"/>
  <c r="L4" i="6"/>
  <c r="J4" i="6"/>
  <c r="J44" i="6" s="1"/>
  <c r="DS124" i="5"/>
  <c r="DR124" i="5"/>
  <c r="DQ124" i="5"/>
  <c r="DP124" i="5"/>
  <c r="DS123" i="5"/>
  <c r="DR123" i="5"/>
  <c r="DQ123" i="5"/>
  <c r="DP123" i="5"/>
  <c r="DS122" i="5"/>
  <c r="DR122" i="5"/>
  <c r="DQ122" i="5"/>
  <c r="DP122" i="5"/>
  <c r="DS121" i="5"/>
  <c r="DR121" i="5"/>
  <c r="DQ121" i="5"/>
  <c r="DP121" i="5"/>
  <c r="DS120" i="5"/>
  <c r="DR120" i="5"/>
  <c r="DQ120" i="5"/>
  <c r="DP120" i="5"/>
  <c r="DS119" i="5"/>
  <c r="DR119" i="5"/>
  <c r="DQ119" i="5"/>
  <c r="DP119" i="5"/>
  <c r="DS118" i="5"/>
  <c r="DR118" i="5"/>
  <c r="DQ118" i="5"/>
  <c r="DP118" i="5"/>
  <c r="DS117" i="5"/>
  <c r="DR117" i="5"/>
  <c r="DQ117" i="5"/>
  <c r="DP117" i="5"/>
  <c r="DS116" i="5"/>
  <c r="DR116" i="5"/>
  <c r="DQ116" i="5"/>
  <c r="DP116" i="5"/>
  <c r="EX115" i="5"/>
  <c r="EZ115" i="5" s="1"/>
  <c r="EW115" i="5"/>
  <c r="ET115" i="5"/>
  <c r="ES115" i="5"/>
  <c r="EU115" i="5" s="1"/>
  <c r="ER115" i="5"/>
  <c r="DS115" i="5"/>
  <c r="DR115" i="5"/>
  <c r="DQ115" i="5"/>
  <c r="DP115" i="5"/>
  <c r="EY114" i="5"/>
  <c r="EX114" i="5"/>
  <c r="EZ114" i="5" s="1"/>
  <c r="EW114" i="5"/>
  <c r="ET114" i="5"/>
  <c r="ES114" i="5"/>
  <c r="EU114" i="5" s="1"/>
  <c r="ER114" i="5"/>
  <c r="DS114" i="5"/>
  <c r="DR114" i="5"/>
  <c r="DQ114" i="5"/>
  <c r="DP114" i="5"/>
  <c r="EZ113" i="5"/>
  <c r="EX113" i="5"/>
  <c r="EW113" i="5"/>
  <c r="ES113" i="5"/>
  <c r="EU113" i="5" s="1"/>
  <c r="ER113" i="5"/>
  <c r="DS113" i="5"/>
  <c r="DR113" i="5"/>
  <c r="DQ113" i="5"/>
  <c r="DP113" i="5"/>
  <c r="EZ112" i="5"/>
  <c r="EY112" i="5"/>
  <c r="EX112" i="5"/>
  <c r="EW112" i="5"/>
  <c r="ET112" i="5"/>
  <c r="ES112" i="5"/>
  <c r="ER112" i="5"/>
  <c r="DS112" i="5"/>
  <c r="DR112" i="5"/>
  <c r="DQ112" i="5"/>
  <c r="DP112" i="5"/>
  <c r="EX111" i="5"/>
  <c r="EZ111" i="5" s="1"/>
  <c r="EW111" i="5"/>
  <c r="EU111" i="5"/>
  <c r="ES111" i="5"/>
  <c r="ER111" i="5"/>
  <c r="DS111" i="5"/>
  <c r="DR111" i="5"/>
  <c r="DQ111" i="5"/>
  <c r="DP111" i="5"/>
  <c r="EZ110" i="5"/>
  <c r="EX110" i="5"/>
  <c r="EW110" i="5"/>
  <c r="ES110" i="5"/>
  <c r="ER110" i="5"/>
  <c r="DS110" i="5"/>
  <c r="DR110" i="5"/>
  <c r="DQ110" i="5"/>
  <c r="DP110" i="5"/>
  <c r="CY110" i="5"/>
  <c r="EX109" i="5"/>
  <c r="EZ109" i="5" s="1"/>
  <c r="EW109" i="5"/>
  <c r="ES109" i="5"/>
  <c r="EU109" i="5" s="1"/>
  <c r="ER109" i="5"/>
  <c r="DS109" i="5"/>
  <c r="DR109" i="5"/>
  <c r="DQ109" i="5"/>
  <c r="DP109" i="5"/>
  <c r="EZ108" i="5"/>
  <c r="EX108" i="5"/>
  <c r="EW108" i="5"/>
  <c r="ES108" i="5"/>
  <c r="ER108" i="5"/>
  <c r="DS108" i="5"/>
  <c r="DR108" i="5"/>
  <c r="DQ108" i="5"/>
  <c r="DP108" i="5"/>
  <c r="EX107" i="5"/>
  <c r="EZ107" i="5" s="1"/>
  <c r="EW107" i="5"/>
  <c r="EY107" i="5" s="1"/>
  <c r="ES107" i="5"/>
  <c r="EU107" i="5" s="1"/>
  <c r="ER107" i="5"/>
  <c r="DS107" i="5"/>
  <c r="DR107" i="5"/>
  <c r="DQ107" i="5"/>
  <c r="DP107" i="5"/>
  <c r="EZ106" i="5"/>
  <c r="EX106" i="5"/>
  <c r="EW106" i="5"/>
  <c r="ES106" i="5"/>
  <c r="ER106" i="5"/>
  <c r="DS106" i="5"/>
  <c r="DR106" i="5"/>
  <c r="DQ106" i="5"/>
  <c r="DP106" i="5"/>
  <c r="EX105" i="5"/>
  <c r="EZ105" i="5" s="1"/>
  <c r="EW105" i="5"/>
  <c r="EY105" i="5" s="1"/>
  <c r="ES105" i="5"/>
  <c r="EU105" i="5" s="1"/>
  <c r="ER105" i="5"/>
  <c r="DS105" i="5"/>
  <c r="DR105" i="5"/>
  <c r="DQ105" i="5"/>
  <c r="DP105" i="5"/>
  <c r="EZ104" i="5"/>
  <c r="EX104" i="5"/>
  <c r="EW104" i="5"/>
  <c r="ES104" i="5"/>
  <c r="ER104" i="5"/>
  <c r="DS104" i="5"/>
  <c r="DR104" i="5"/>
  <c r="DQ104" i="5"/>
  <c r="DP104" i="5"/>
  <c r="EX103" i="5"/>
  <c r="EZ103" i="5" s="1"/>
  <c r="EW103" i="5"/>
  <c r="ES103" i="5"/>
  <c r="EU103" i="5" s="1"/>
  <c r="ER103" i="5"/>
  <c r="DS103" i="5"/>
  <c r="DR103" i="5"/>
  <c r="DQ103" i="5"/>
  <c r="DP103" i="5"/>
  <c r="EZ102" i="5"/>
  <c r="EX102" i="5"/>
  <c r="EW102" i="5"/>
  <c r="ES102" i="5"/>
  <c r="EU102" i="5" s="1"/>
  <c r="ER102" i="5"/>
  <c r="DS102" i="5"/>
  <c r="DR102" i="5"/>
  <c r="DQ102" i="5"/>
  <c r="DP102" i="5"/>
  <c r="EX101" i="5"/>
  <c r="EZ101" i="5" s="1"/>
  <c r="EW101" i="5"/>
  <c r="ES101" i="5"/>
  <c r="EU101" i="5" s="1"/>
  <c r="ER101" i="5"/>
  <c r="DS101" i="5"/>
  <c r="DR101" i="5"/>
  <c r="DQ101" i="5"/>
  <c r="DP101" i="5"/>
  <c r="EZ100" i="5"/>
  <c r="EX100" i="5"/>
  <c r="EW100" i="5"/>
  <c r="ES100" i="5"/>
  <c r="EU100" i="5" s="1"/>
  <c r="ER100" i="5"/>
  <c r="DS100" i="5"/>
  <c r="DR100" i="5"/>
  <c r="DQ100" i="5"/>
  <c r="DP100" i="5"/>
  <c r="EX99" i="5"/>
  <c r="EZ99" i="5" s="1"/>
  <c r="EW99" i="5"/>
  <c r="EY99" i="5" s="1"/>
  <c r="ES99" i="5"/>
  <c r="EU99" i="5" s="1"/>
  <c r="ER99" i="5"/>
  <c r="DS99" i="5"/>
  <c r="DR99" i="5"/>
  <c r="DQ99" i="5"/>
  <c r="DP99" i="5"/>
  <c r="EZ98" i="5"/>
  <c r="EX98" i="5"/>
  <c r="EW98" i="5"/>
  <c r="ES98" i="5"/>
  <c r="ER98" i="5"/>
  <c r="DS98" i="5"/>
  <c r="DR98" i="5"/>
  <c r="DQ98" i="5"/>
  <c r="DP98" i="5"/>
  <c r="EX97" i="5"/>
  <c r="EZ97" i="5" s="1"/>
  <c r="EW97" i="5"/>
  <c r="EY97" i="5" s="1"/>
  <c r="ES97" i="5"/>
  <c r="EU97" i="5" s="1"/>
  <c r="ER97" i="5"/>
  <c r="DS97" i="5"/>
  <c r="DR97" i="5"/>
  <c r="DQ97" i="5"/>
  <c r="DP97" i="5"/>
  <c r="EZ96" i="5"/>
  <c r="EX96" i="5"/>
  <c r="EW96" i="5"/>
  <c r="ES96" i="5"/>
  <c r="ER96" i="5"/>
  <c r="DS96" i="5"/>
  <c r="DR96" i="5"/>
  <c r="DQ96" i="5"/>
  <c r="DP96" i="5"/>
  <c r="EX95" i="5"/>
  <c r="EZ95" i="5" s="1"/>
  <c r="EW95" i="5"/>
  <c r="ES95" i="5"/>
  <c r="EU95" i="5" s="1"/>
  <c r="ER95" i="5"/>
  <c r="DS95" i="5"/>
  <c r="DR95" i="5"/>
  <c r="DQ95" i="5"/>
  <c r="DP95" i="5"/>
  <c r="EZ94" i="5"/>
  <c r="EX94" i="5"/>
  <c r="EW94" i="5"/>
  <c r="ES94" i="5"/>
  <c r="EU94" i="5" s="1"/>
  <c r="ER94" i="5"/>
  <c r="DS94" i="5"/>
  <c r="DR94" i="5"/>
  <c r="DQ94" i="5"/>
  <c r="DP94" i="5"/>
  <c r="EX93" i="5"/>
  <c r="EZ93" i="5" s="1"/>
  <c r="EW93" i="5"/>
  <c r="EY93" i="5" s="1"/>
  <c r="ES93" i="5"/>
  <c r="EU93" i="5" s="1"/>
  <c r="ER93" i="5"/>
  <c r="DS93" i="5"/>
  <c r="DR93" i="5"/>
  <c r="DQ93" i="5"/>
  <c r="DP93" i="5"/>
  <c r="EZ92" i="5"/>
  <c r="EX92" i="5"/>
  <c r="EW92" i="5"/>
  <c r="ES92" i="5"/>
  <c r="EU92" i="5" s="1"/>
  <c r="ER92" i="5"/>
  <c r="DS92" i="5"/>
  <c r="DR92" i="5"/>
  <c r="DQ92" i="5"/>
  <c r="DP92" i="5"/>
  <c r="EX91" i="5"/>
  <c r="EZ91" i="5" s="1"/>
  <c r="EW91" i="5"/>
  <c r="EY91" i="5" s="1"/>
  <c r="ES91" i="5"/>
  <c r="EU91" i="5" s="1"/>
  <c r="ER91" i="5"/>
  <c r="DS91" i="5"/>
  <c r="DR91" i="5"/>
  <c r="DQ91" i="5"/>
  <c r="DP91" i="5"/>
  <c r="EZ90" i="5"/>
  <c r="EX90" i="5"/>
  <c r="EW90" i="5"/>
  <c r="EY90" i="5" s="1"/>
  <c r="EU90" i="5"/>
  <c r="ES90" i="5"/>
  <c r="ER90" i="5"/>
  <c r="ET90" i="5" s="1"/>
  <c r="DS90" i="5"/>
  <c r="DR90" i="5"/>
  <c r="DQ90" i="5"/>
  <c r="DP90" i="5"/>
  <c r="EZ89" i="5"/>
  <c r="EX89" i="5"/>
  <c r="EW89" i="5"/>
  <c r="EY89" i="5" s="1"/>
  <c r="EU89" i="5"/>
  <c r="ES89" i="5"/>
  <c r="ER89" i="5"/>
  <c r="ET89" i="5" s="1"/>
  <c r="DS89" i="5"/>
  <c r="DR89" i="5"/>
  <c r="DQ89" i="5"/>
  <c r="DP89" i="5"/>
  <c r="EZ88" i="5"/>
  <c r="EX88" i="5"/>
  <c r="EW88" i="5"/>
  <c r="EY88" i="5" s="1"/>
  <c r="EU88" i="5"/>
  <c r="ES88" i="5"/>
  <c r="ER88" i="5"/>
  <c r="ET88" i="5" s="1"/>
  <c r="DS88" i="5"/>
  <c r="DR88" i="5"/>
  <c r="DQ88" i="5"/>
  <c r="DP88" i="5"/>
  <c r="EZ87" i="5"/>
  <c r="EX87" i="5"/>
  <c r="EW87" i="5"/>
  <c r="EY87" i="5" s="1"/>
  <c r="EU87" i="5"/>
  <c r="ES87" i="5"/>
  <c r="ER87" i="5"/>
  <c r="ET87" i="5" s="1"/>
  <c r="DS87" i="5"/>
  <c r="DR87" i="5"/>
  <c r="DQ87" i="5"/>
  <c r="DP87" i="5"/>
  <c r="EZ86" i="5"/>
  <c r="EX86" i="5"/>
  <c r="EW86" i="5"/>
  <c r="EY86" i="5" s="1"/>
  <c r="EU86" i="5"/>
  <c r="ES86" i="5"/>
  <c r="ER86" i="5"/>
  <c r="ET86" i="5" s="1"/>
  <c r="DS86" i="5"/>
  <c r="DR86" i="5"/>
  <c r="DQ86" i="5"/>
  <c r="DP86" i="5"/>
  <c r="EZ85" i="5"/>
  <c r="EX85" i="5"/>
  <c r="EW85" i="5"/>
  <c r="EY85" i="5" s="1"/>
  <c r="EU85" i="5"/>
  <c r="ES85" i="5"/>
  <c r="ER85" i="5"/>
  <c r="ET85" i="5" s="1"/>
  <c r="DS85" i="5"/>
  <c r="DR85" i="5"/>
  <c r="DQ85" i="5"/>
  <c r="DP85" i="5"/>
  <c r="EZ84" i="5"/>
  <c r="EX84" i="5"/>
  <c r="EW84" i="5"/>
  <c r="EY84" i="5" s="1"/>
  <c r="EU84" i="5"/>
  <c r="ES84" i="5"/>
  <c r="ER84" i="5"/>
  <c r="ET84" i="5" s="1"/>
  <c r="DS84" i="5"/>
  <c r="DR84" i="5"/>
  <c r="DQ84" i="5"/>
  <c r="DP84" i="5"/>
  <c r="EZ83" i="5"/>
  <c r="EX83" i="5"/>
  <c r="EW83" i="5"/>
  <c r="EU83" i="5"/>
  <c r="ES83" i="5"/>
  <c r="ER83" i="5"/>
  <c r="DS83" i="5"/>
  <c r="DR83" i="5"/>
  <c r="DQ83" i="5"/>
  <c r="DP83" i="5"/>
  <c r="EX82" i="5"/>
  <c r="EW82" i="5"/>
  <c r="EY82" i="5" s="1"/>
  <c r="ES82" i="5"/>
  <c r="ER82" i="5"/>
  <c r="ET82" i="5" s="1"/>
  <c r="DS82" i="5"/>
  <c r="DR82" i="5"/>
  <c r="DQ82" i="5"/>
  <c r="DP82" i="5"/>
  <c r="EZ81" i="5"/>
  <c r="EX81" i="5"/>
  <c r="EW81" i="5"/>
  <c r="EY81" i="5" s="1"/>
  <c r="EU81" i="5"/>
  <c r="ES81" i="5"/>
  <c r="ER81" i="5"/>
  <c r="ET81" i="5" s="1"/>
  <c r="DS81" i="5"/>
  <c r="DR81" i="5"/>
  <c r="DQ81" i="5"/>
  <c r="DP81" i="5"/>
  <c r="EZ80" i="5"/>
  <c r="EX80" i="5"/>
  <c r="EW80" i="5"/>
  <c r="EY80" i="5" s="1"/>
  <c r="EU80" i="5"/>
  <c r="ES80" i="5"/>
  <c r="ER80" i="5"/>
  <c r="ET80" i="5" s="1"/>
  <c r="DS80" i="5"/>
  <c r="DR80" i="5"/>
  <c r="DQ80" i="5"/>
  <c r="DP80" i="5"/>
  <c r="EX79" i="5"/>
  <c r="EZ79" i="5" s="1"/>
  <c r="EW79" i="5"/>
  <c r="EY79" i="5" s="1"/>
  <c r="ES79" i="5"/>
  <c r="EU79" i="5" s="1"/>
  <c r="ER79" i="5"/>
  <c r="DS79" i="5"/>
  <c r="DR79" i="5"/>
  <c r="DQ79" i="5"/>
  <c r="DP79" i="5"/>
  <c r="EY78" i="5"/>
  <c r="EX78" i="5"/>
  <c r="EZ82" i="5" s="1"/>
  <c r="EW78" i="5"/>
  <c r="ET78" i="5"/>
  <c r="ES78" i="5"/>
  <c r="ER78" i="5"/>
  <c r="DS78" i="5"/>
  <c r="DR78" i="5"/>
  <c r="DQ78" i="5"/>
  <c r="DP78" i="5"/>
  <c r="EZ77" i="5"/>
  <c r="EY77" i="5"/>
  <c r="EX77" i="5"/>
  <c r="EW77" i="5"/>
  <c r="EU77" i="5"/>
  <c r="ET77" i="5"/>
  <c r="ES77" i="5"/>
  <c r="ER77" i="5"/>
  <c r="DS77" i="5"/>
  <c r="DR77" i="5"/>
  <c r="DQ77" i="5"/>
  <c r="DP77" i="5"/>
  <c r="EZ76" i="5"/>
  <c r="EX76" i="5"/>
  <c r="EW76" i="5"/>
  <c r="EY76" i="5" s="1"/>
  <c r="EU76" i="5"/>
  <c r="ES76" i="5"/>
  <c r="ER76" i="5"/>
  <c r="ET76" i="5" s="1"/>
  <c r="DS76" i="5"/>
  <c r="DR76" i="5"/>
  <c r="DQ76" i="5"/>
  <c r="DP76" i="5"/>
  <c r="EX75" i="5"/>
  <c r="EZ75" i="5" s="1"/>
  <c r="EW75" i="5"/>
  <c r="EY75" i="5" s="1"/>
  <c r="ES75" i="5"/>
  <c r="EU75" i="5" s="1"/>
  <c r="ER75" i="5"/>
  <c r="DS75" i="5"/>
  <c r="DR75" i="5"/>
  <c r="DQ75" i="5"/>
  <c r="DP75" i="5"/>
  <c r="DE75" i="5"/>
  <c r="DD75" i="5"/>
  <c r="DF75" i="5" s="1"/>
  <c r="DC75" i="5"/>
  <c r="EY74" i="5"/>
  <c r="EX74" i="5"/>
  <c r="EZ74" i="5" s="1"/>
  <c r="EW74" i="5"/>
  <c r="ET74" i="5"/>
  <c r="ES74" i="5"/>
  <c r="ER74" i="5"/>
  <c r="DS74" i="5"/>
  <c r="DR74" i="5"/>
  <c r="DQ74" i="5"/>
  <c r="DP74" i="5"/>
  <c r="DF74" i="5"/>
  <c r="DE74" i="5"/>
  <c r="DD74" i="5"/>
  <c r="DC74" i="5"/>
  <c r="EZ73" i="5"/>
  <c r="EY73" i="5"/>
  <c r="EX73" i="5"/>
  <c r="EW73" i="5"/>
  <c r="EU73" i="5"/>
  <c r="ET73" i="5"/>
  <c r="ES73" i="5"/>
  <c r="ER73" i="5"/>
  <c r="DS73" i="5"/>
  <c r="DR73" i="5"/>
  <c r="DQ73" i="5"/>
  <c r="DP73" i="5"/>
  <c r="DF73" i="5"/>
  <c r="DD73" i="5"/>
  <c r="DC73" i="5"/>
  <c r="DE73" i="5" s="1"/>
  <c r="EZ72" i="5"/>
  <c r="EX72" i="5"/>
  <c r="EW72" i="5"/>
  <c r="EY72" i="5" s="1"/>
  <c r="EU72" i="5"/>
  <c r="ES72" i="5"/>
  <c r="ER72" i="5"/>
  <c r="ET72" i="5" s="1"/>
  <c r="DS72" i="5"/>
  <c r="DR72" i="5"/>
  <c r="DQ72" i="5"/>
  <c r="DP72" i="5"/>
  <c r="DD72" i="5"/>
  <c r="DF72" i="5" s="1"/>
  <c r="DC72" i="5"/>
  <c r="DE72" i="5" s="1"/>
  <c r="EX71" i="5"/>
  <c r="EZ71" i="5" s="1"/>
  <c r="EW71" i="5"/>
  <c r="ES71" i="5"/>
  <c r="EU71" i="5" s="1"/>
  <c r="ER71" i="5"/>
  <c r="ET71" i="5" s="1"/>
  <c r="DS71" i="5"/>
  <c r="DR71" i="5"/>
  <c r="DQ71" i="5"/>
  <c r="DP71" i="5"/>
  <c r="DE71" i="5"/>
  <c r="DD71" i="5"/>
  <c r="DC71" i="5"/>
  <c r="EY70" i="5"/>
  <c r="EX70" i="5"/>
  <c r="EW70" i="5"/>
  <c r="ET70" i="5"/>
  <c r="ES70" i="5"/>
  <c r="EU70" i="5" s="1"/>
  <c r="ER70" i="5"/>
  <c r="DS70" i="5"/>
  <c r="DR70" i="5"/>
  <c r="DQ70" i="5"/>
  <c r="DP70" i="5"/>
  <c r="DF70" i="5"/>
  <c r="DE70" i="5"/>
  <c r="DD70" i="5"/>
  <c r="DC70" i="5"/>
  <c r="EZ69" i="5"/>
  <c r="EY69" i="5"/>
  <c r="EX69" i="5"/>
  <c r="EW69" i="5"/>
  <c r="EU69" i="5"/>
  <c r="ET69" i="5"/>
  <c r="ES69" i="5"/>
  <c r="ER69" i="5"/>
  <c r="DS69" i="5"/>
  <c r="DR69" i="5"/>
  <c r="DQ69" i="5"/>
  <c r="DP69" i="5"/>
  <c r="DF69" i="5"/>
  <c r="DD69" i="5"/>
  <c r="DC69" i="5"/>
  <c r="DE69" i="5" s="1"/>
  <c r="EZ68" i="5"/>
  <c r="EX68" i="5"/>
  <c r="EW68" i="5"/>
  <c r="EY68" i="5" s="1"/>
  <c r="EU68" i="5"/>
  <c r="ES68" i="5"/>
  <c r="ER68" i="5"/>
  <c r="ET68" i="5" s="1"/>
  <c r="DS68" i="5"/>
  <c r="DR68" i="5"/>
  <c r="DQ68" i="5"/>
  <c r="DP68" i="5"/>
  <c r="DD68" i="5"/>
  <c r="DF68" i="5" s="1"/>
  <c r="DC68" i="5"/>
  <c r="EX67" i="5"/>
  <c r="EZ67" i="5" s="1"/>
  <c r="EW67" i="5"/>
  <c r="EY67" i="5" s="1"/>
  <c r="ES67" i="5"/>
  <c r="EU67" i="5" s="1"/>
  <c r="ER67" i="5"/>
  <c r="ET67" i="5" s="1"/>
  <c r="DS67" i="5"/>
  <c r="DR67" i="5"/>
  <c r="DQ67" i="5"/>
  <c r="DP67" i="5"/>
  <c r="DD67" i="5"/>
  <c r="DF67" i="5" s="1"/>
  <c r="DC67" i="5"/>
  <c r="BE67" i="5"/>
  <c r="BD67" i="5"/>
  <c r="AP67" i="5"/>
  <c r="AK67" i="5"/>
  <c r="AF67" i="5"/>
  <c r="AE67" i="5"/>
  <c r="AD67" i="5"/>
  <c r="EY66" i="5"/>
  <c r="EX66" i="5"/>
  <c r="EZ66" i="5" s="1"/>
  <c r="EW66" i="5"/>
  <c r="ET66" i="5"/>
  <c r="ES66" i="5"/>
  <c r="EU66" i="5" s="1"/>
  <c r="ER66" i="5"/>
  <c r="DS66" i="5"/>
  <c r="DR66" i="5"/>
  <c r="DQ66" i="5"/>
  <c r="DP66" i="5"/>
  <c r="DF66" i="5"/>
  <c r="DE66" i="5"/>
  <c r="DD66" i="5"/>
  <c r="DC66" i="5"/>
  <c r="BE66" i="5"/>
  <c r="BD66" i="5"/>
  <c r="AP66" i="5"/>
  <c r="AK66" i="5"/>
  <c r="AF66" i="5"/>
  <c r="AE66" i="5"/>
  <c r="AD66" i="5"/>
  <c r="EX65" i="5"/>
  <c r="EW65" i="5"/>
  <c r="ET65" i="5"/>
  <c r="ES65" i="5"/>
  <c r="ER65" i="5"/>
  <c r="DS65" i="5"/>
  <c r="DR65" i="5"/>
  <c r="DQ65" i="5"/>
  <c r="DP65" i="5"/>
  <c r="DD65" i="5"/>
  <c r="DC65" i="5"/>
  <c r="DE65" i="5" s="1"/>
  <c r="BE65" i="5"/>
  <c r="BD65" i="5"/>
  <c r="AP65" i="5"/>
  <c r="AK65" i="5"/>
  <c r="AF65" i="5"/>
  <c r="AE65" i="5"/>
  <c r="AD65" i="5"/>
  <c r="EZ64" i="5"/>
  <c r="EX64" i="5"/>
  <c r="EW64" i="5"/>
  <c r="EY64" i="5" s="1"/>
  <c r="EU64" i="5"/>
  <c r="ES64" i="5"/>
  <c r="ER64" i="5"/>
  <c r="ET64" i="5" s="1"/>
  <c r="DS64" i="5"/>
  <c r="DR64" i="5"/>
  <c r="DQ64" i="5"/>
  <c r="DP64" i="5"/>
  <c r="DD64" i="5"/>
  <c r="DF64" i="5" s="1"/>
  <c r="DC64" i="5"/>
  <c r="DE64" i="5" s="1"/>
  <c r="AP64" i="5"/>
  <c r="AK64" i="5"/>
  <c r="AF64" i="5"/>
  <c r="AE64" i="5"/>
  <c r="AD64" i="5"/>
  <c r="EY63" i="5"/>
  <c r="EX63" i="5"/>
  <c r="EW63" i="5"/>
  <c r="ET63" i="5"/>
  <c r="ES63" i="5"/>
  <c r="ER63" i="5"/>
  <c r="DS63" i="5"/>
  <c r="DR63" i="5"/>
  <c r="DQ63" i="5"/>
  <c r="DP63" i="5"/>
  <c r="DF63" i="5"/>
  <c r="DD63" i="5"/>
  <c r="DC63" i="5"/>
  <c r="DE63" i="5" s="1"/>
  <c r="AP63" i="5"/>
  <c r="AK63" i="5"/>
  <c r="AF63" i="5"/>
  <c r="AE63" i="5"/>
  <c r="AD63" i="5"/>
  <c r="EY62" i="5"/>
  <c r="EX62" i="5"/>
  <c r="EW62" i="5"/>
  <c r="ET62" i="5"/>
  <c r="ES62" i="5"/>
  <c r="ER62" i="5"/>
  <c r="DS62" i="5"/>
  <c r="DR62" i="5"/>
  <c r="DQ62" i="5"/>
  <c r="DP62" i="5"/>
  <c r="DF62" i="5"/>
  <c r="DD62" i="5"/>
  <c r="DC62" i="5"/>
  <c r="DE62" i="5" s="1"/>
  <c r="EX61" i="5"/>
  <c r="EW61" i="5"/>
  <c r="EY61" i="5" s="1"/>
  <c r="ES61" i="5"/>
  <c r="ER61" i="5"/>
  <c r="ET61" i="5" s="1"/>
  <c r="DS61" i="5"/>
  <c r="DR61" i="5"/>
  <c r="DQ61" i="5"/>
  <c r="DP61" i="5"/>
  <c r="DE61" i="5"/>
  <c r="DD61" i="5"/>
  <c r="DC61" i="5"/>
  <c r="EY60" i="5"/>
  <c r="EX60" i="5"/>
  <c r="EW60" i="5"/>
  <c r="ET60" i="5"/>
  <c r="ES60" i="5"/>
  <c r="ER60" i="5"/>
  <c r="DS60" i="5"/>
  <c r="DR60" i="5"/>
  <c r="DQ60" i="5"/>
  <c r="DP60" i="5"/>
  <c r="DF60" i="5"/>
  <c r="DE60" i="5"/>
  <c r="DD60" i="5"/>
  <c r="DC60" i="5"/>
  <c r="CO60" i="5"/>
  <c r="CN60" i="5"/>
  <c r="CM60" i="5"/>
  <c r="CH60" i="5"/>
  <c r="CE60" i="5"/>
  <c r="BY60" i="5"/>
  <c r="BX60" i="5"/>
  <c r="BW60" i="5"/>
  <c r="BM60" i="5"/>
  <c r="BD60" i="5"/>
  <c r="AP60" i="5"/>
  <c r="AK60" i="5"/>
  <c r="AF60" i="5"/>
  <c r="AE60" i="5"/>
  <c r="AD60" i="5"/>
  <c r="W60" i="5"/>
  <c r="O60" i="5"/>
  <c r="K60" i="5"/>
  <c r="I60" i="5"/>
  <c r="G60" i="5"/>
  <c r="C60" i="5"/>
  <c r="EX59" i="5"/>
  <c r="EW59" i="5"/>
  <c r="ES59" i="5"/>
  <c r="ER59" i="5"/>
  <c r="DS59" i="5"/>
  <c r="DR59" i="5"/>
  <c r="DQ59" i="5"/>
  <c r="DP59" i="5"/>
  <c r="DD59" i="5"/>
  <c r="DC59" i="5"/>
  <c r="CO59" i="5"/>
  <c r="CN59" i="5"/>
  <c r="CM59" i="5"/>
  <c r="CH59" i="5"/>
  <c r="CE59" i="5"/>
  <c r="BY59" i="5"/>
  <c r="BX59" i="5"/>
  <c r="BW59" i="5"/>
  <c r="BM59" i="5"/>
  <c r="BD59" i="5"/>
  <c r="AP59" i="5"/>
  <c r="AK59" i="5"/>
  <c r="AF59" i="5"/>
  <c r="AE59" i="5"/>
  <c r="AD59" i="5"/>
  <c r="W59" i="5"/>
  <c r="O59" i="5"/>
  <c r="K59" i="5"/>
  <c r="I59" i="5"/>
  <c r="G59" i="5"/>
  <c r="C59" i="5"/>
  <c r="EY58" i="5"/>
  <c r="EX58" i="5"/>
  <c r="EW58" i="5"/>
  <c r="ET58" i="5"/>
  <c r="ES58" i="5"/>
  <c r="ER58" i="5"/>
  <c r="DS58" i="5"/>
  <c r="DR58" i="5"/>
  <c r="DQ58" i="5"/>
  <c r="DP58" i="5"/>
  <c r="DF58" i="5"/>
  <c r="DE58" i="5"/>
  <c r="DD58" i="5"/>
  <c r="DC58" i="5"/>
  <c r="CO58" i="5"/>
  <c r="CN58" i="5"/>
  <c r="CM58" i="5"/>
  <c r="CH58" i="5"/>
  <c r="CE58" i="5"/>
  <c r="BY58" i="5"/>
  <c r="BX58" i="5"/>
  <c r="BW58" i="5"/>
  <c r="BM58" i="5"/>
  <c r="BD58" i="5"/>
  <c r="AP58" i="5"/>
  <c r="AK58" i="5"/>
  <c r="AF58" i="5"/>
  <c r="AE58" i="5"/>
  <c r="AD58" i="5"/>
  <c r="W58" i="5"/>
  <c r="O58" i="5"/>
  <c r="K58" i="5"/>
  <c r="I58" i="5"/>
  <c r="G58" i="5"/>
  <c r="C58" i="5"/>
  <c r="EX57" i="5"/>
  <c r="EZ57" i="5" s="1"/>
  <c r="EW57" i="5"/>
  <c r="ES57" i="5"/>
  <c r="EU57" i="5" s="1"/>
  <c r="ER57" i="5"/>
  <c r="DS57" i="5"/>
  <c r="DR57" i="5"/>
  <c r="DQ57" i="5"/>
  <c r="DP57" i="5"/>
  <c r="DD57" i="5"/>
  <c r="DC57" i="5"/>
  <c r="BM57" i="5"/>
  <c r="K57" i="5"/>
  <c r="I57" i="5"/>
  <c r="G57" i="5"/>
  <c r="C57" i="5"/>
  <c r="EY56" i="5"/>
  <c r="EX56" i="5"/>
  <c r="EW56" i="5"/>
  <c r="ET56" i="5"/>
  <c r="ES56" i="5"/>
  <c r="EU56" i="5" s="1"/>
  <c r="ER56" i="5"/>
  <c r="DS56" i="5"/>
  <c r="DR56" i="5"/>
  <c r="DQ56" i="5"/>
  <c r="DP56" i="5"/>
  <c r="DF56" i="5"/>
  <c r="DE56" i="5"/>
  <c r="DD56" i="5"/>
  <c r="DC56" i="5"/>
  <c r="CJ56" i="5"/>
  <c r="BM56" i="5"/>
  <c r="T56" i="5"/>
  <c r="S56" i="5"/>
  <c r="K56" i="5"/>
  <c r="I56" i="5"/>
  <c r="G56" i="5"/>
  <c r="C56" i="5"/>
  <c r="EZ55" i="5"/>
  <c r="EX55" i="5"/>
  <c r="EW55" i="5"/>
  <c r="EY55" i="5" s="1"/>
  <c r="EU55" i="5"/>
  <c r="ES55" i="5"/>
  <c r="ER55" i="5"/>
  <c r="ET55" i="5" s="1"/>
  <c r="DS55" i="5"/>
  <c r="DR55" i="5"/>
  <c r="DQ55" i="5"/>
  <c r="DP55" i="5"/>
  <c r="DG55" i="5"/>
  <c r="DD55" i="5"/>
  <c r="DF55" i="5" s="1"/>
  <c r="DC55" i="5"/>
  <c r="DE55" i="5" s="1"/>
  <c r="CJ55" i="5"/>
  <c r="BM55" i="5"/>
  <c r="T55" i="5"/>
  <c r="EX54" i="5"/>
  <c r="EZ54" i="5" s="1"/>
  <c r="EW54" i="5"/>
  <c r="ES54" i="5"/>
  <c r="EU54" i="5" s="1"/>
  <c r="ER54" i="5"/>
  <c r="DS54" i="5"/>
  <c r="DR54" i="5"/>
  <c r="DQ54" i="5"/>
  <c r="DP54" i="5"/>
  <c r="DE54" i="5"/>
  <c r="DD54" i="5"/>
  <c r="DC54" i="5"/>
  <c r="CN54" i="5"/>
  <c r="CJ54" i="5"/>
  <c r="BM54" i="5"/>
  <c r="T54" i="5"/>
  <c r="EZ53" i="5"/>
  <c r="EX53" i="5"/>
  <c r="EW53" i="5"/>
  <c r="EY53" i="5" s="1"/>
  <c r="ES53" i="5"/>
  <c r="ER53" i="5"/>
  <c r="ET53" i="5" s="1"/>
  <c r="DS53" i="5"/>
  <c r="DR53" i="5"/>
  <c r="DQ53" i="5"/>
  <c r="DP53" i="5"/>
  <c r="DD53" i="5"/>
  <c r="DF53" i="5" s="1"/>
  <c r="DC53" i="5"/>
  <c r="CM53" i="5"/>
  <c r="CM54" i="5" s="1"/>
  <c r="CM55" i="5" s="1"/>
  <c r="CM56" i="5" s="1"/>
  <c r="CJ53" i="5"/>
  <c r="BW53" i="5"/>
  <c r="BW54" i="5" s="1"/>
  <c r="BW55" i="5" s="1"/>
  <c r="BW56" i="5" s="1"/>
  <c r="BM53" i="5"/>
  <c r="T53" i="5"/>
  <c r="P53" i="5"/>
  <c r="S53" i="5" s="1"/>
  <c r="EX52" i="5"/>
  <c r="EW52" i="5"/>
  <c r="ES52" i="5"/>
  <c r="ER52" i="5"/>
  <c r="DS52" i="5"/>
  <c r="DR52" i="5"/>
  <c r="DQ52" i="5"/>
  <c r="DP52" i="5"/>
  <c r="DD52" i="5"/>
  <c r="DC52" i="5"/>
  <c r="CO52" i="5"/>
  <c r="CO53" i="5" s="1"/>
  <c r="CO54" i="5" s="1"/>
  <c r="CO55" i="5" s="1"/>
  <c r="CO56" i="5" s="1"/>
  <c r="CN52" i="5"/>
  <c r="CN53" i="5" s="1"/>
  <c r="DC77" i="5" s="1"/>
  <c r="DE77" i="5" s="1"/>
  <c r="CM52" i="5"/>
  <c r="CJ52" i="5"/>
  <c r="CX110" i="5" s="1"/>
  <c r="CX111" i="5" s="1"/>
  <c r="CX112" i="5" s="1"/>
  <c r="CX113" i="5" s="1"/>
  <c r="CX114" i="5" s="1"/>
  <c r="CH52" i="5"/>
  <c r="CE52" i="5"/>
  <c r="CE53" i="5" s="1"/>
  <c r="CF53" i="5" s="1"/>
  <c r="CB52" i="5"/>
  <c r="BZ52" i="5" s="1"/>
  <c r="BY52" i="5"/>
  <c r="BY53" i="5" s="1"/>
  <c r="BX52" i="5"/>
  <c r="BW52" i="5"/>
  <c r="BQ52" i="5"/>
  <c r="BN52" i="5"/>
  <c r="BM52" i="5"/>
  <c r="BH52" i="5"/>
  <c r="BG52" i="5"/>
  <c r="BE52" i="5"/>
  <c r="BD52" i="5"/>
  <c r="AP52" i="5"/>
  <c r="AM52" i="5"/>
  <c r="AK52" i="5"/>
  <c r="AL52" i="5" s="1"/>
  <c r="AH52" i="5"/>
  <c r="AG52" i="5"/>
  <c r="AF52" i="5"/>
  <c r="AE52" i="5"/>
  <c r="AD52" i="5"/>
  <c r="X52" i="5"/>
  <c r="W52" i="5"/>
  <c r="T52" i="5"/>
  <c r="S52" i="5"/>
  <c r="P52" i="5"/>
  <c r="O52" i="5"/>
  <c r="O53" i="5" s="1"/>
  <c r="O54" i="5" s="1"/>
  <c r="EX51" i="5"/>
  <c r="EW51" i="5"/>
  <c r="ES51" i="5"/>
  <c r="ER51" i="5"/>
  <c r="DS51" i="5"/>
  <c r="DR51" i="5"/>
  <c r="DQ51" i="5"/>
  <c r="DP51" i="5"/>
  <c r="DD51" i="5"/>
  <c r="DC51" i="5"/>
  <c r="DE51" i="5" s="1"/>
  <c r="CJ51" i="5"/>
  <c r="CI51" i="5"/>
  <c r="CG51" i="5"/>
  <c r="CF51" i="5"/>
  <c r="CB51" i="5"/>
  <c r="BZ51" i="5" s="1"/>
  <c r="CA51" i="5"/>
  <c r="DG75" i="5" s="1"/>
  <c r="BS51" i="5"/>
  <c r="BR51" i="5"/>
  <c r="BQ51" i="5"/>
  <c r="BJ51" i="5"/>
  <c r="BH51" i="5"/>
  <c r="BG51" i="5"/>
  <c r="AR51" i="5"/>
  <c r="AQ51" i="5"/>
  <c r="AM51" i="5"/>
  <c r="AL51" i="5"/>
  <c r="AH51" i="5"/>
  <c r="AG51" i="5"/>
  <c r="X51" i="5"/>
  <c r="Q51" i="5"/>
  <c r="P51" i="5"/>
  <c r="EX50" i="5"/>
  <c r="EZ50" i="5" s="1"/>
  <c r="EW50" i="5"/>
  <c r="ES50" i="5"/>
  <c r="ER50" i="5"/>
  <c r="DS50" i="5"/>
  <c r="DR50" i="5"/>
  <c r="DQ50" i="5"/>
  <c r="DP50" i="5"/>
  <c r="DD50" i="5"/>
  <c r="DC50" i="5"/>
  <c r="CJ50" i="5"/>
  <c r="CI50" i="5"/>
  <c r="CG50" i="5"/>
  <c r="CF50" i="5"/>
  <c r="CB50" i="5"/>
  <c r="CA50" i="5"/>
  <c r="DG74" i="5" s="1"/>
  <c r="BZ50" i="5"/>
  <c r="BS50" i="5"/>
  <c r="BR50" i="5"/>
  <c r="BQ50" i="5"/>
  <c r="BJ50" i="5"/>
  <c r="BH50" i="5"/>
  <c r="BG50" i="5"/>
  <c r="AR50" i="5"/>
  <c r="AQ50" i="5"/>
  <c r="AM50" i="5"/>
  <c r="AL50" i="5"/>
  <c r="AH50" i="5"/>
  <c r="AG50" i="5"/>
  <c r="X50" i="5"/>
  <c r="Q50" i="5"/>
  <c r="P50" i="5"/>
  <c r="L50" i="5"/>
  <c r="J50" i="5"/>
  <c r="H50" i="5"/>
  <c r="D50" i="5"/>
  <c r="EX49" i="5"/>
  <c r="EW49" i="5"/>
  <c r="ES49" i="5"/>
  <c r="EU53" i="5" s="1"/>
  <c r="ER49" i="5"/>
  <c r="DS49" i="5"/>
  <c r="DR49" i="5"/>
  <c r="DQ49" i="5"/>
  <c r="DP49" i="5"/>
  <c r="DD49" i="5"/>
  <c r="DC49" i="5"/>
  <c r="DE49" i="5" s="1"/>
  <c r="CJ49" i="5"/>
  <c r="CI49" i="5"/>
  <c r="CG49" i="5"/>
  <c r="CF49" i="5"/>
  <c r="CB49" i="5"/>
  <c r="BZ49" i="5" s="1"/>
  <c r="CA49" i="5"/>
  <c r="DG73" i="5" s="1"/>
  <c r="BS49" i="5"/>
  <c r="BR49" i="5"/>
  <c r="BQ49" i="5"/>
  <c r="BJ49" i="5"/>
  <c r="BH49" i="5"/>
  <c r="BG49" i="5"/>
  <c r="AR49" i="5"/>
  <c r="AQ49" i="5"/>
  <c r="AM49" i="5"/>
  <c r="AL49" i="5"/>
  <c r="AH49" i="5"/>
  <c r="AG49" i="5"/>
  <c r="X49" i="5"/>
  <c r="Q49" i="5"/>
  <c r="P49" i="5"/>
  <c r="L49" i="5"/>
  <c r="J49" i="5"/>
  <c r="H49" i="5"/>
  <c r="D49" i="5"/>
  <c r="EX48" i="5"/>
  <c r="EW48" i="5"/>
  <c r="ES48" i="5"/>
  <c r="ER48" i="5"/>
  <c r="DS48" i="5"/>
  <c r="DR48" i="5"/>
  <c r="DQ48" i="5"/>
  <c r="DP48" i="5"/>
  <c r="DD48" i="5"/>
  <c r="DC48" i="5"/>
  <c r="CJ48" i="5"/>
  <c r="CI48" i="5"/>
  <c r="CG48" i="5"/>
  <c r="CF48" i="5"/>
  <c r="CB48" i="5"/>
  <c r="CA48" i="5"/>
  <c r="DG72" i="5" s="1"/>
  <c r="BZ48" i="5"/>
  <c r="BS48" i="5"/>
  <c r="BR48" i="5"/>
  <c r="BQ48" i="5"/>
  <c r="BM48" i="5"/>
  <c r="BJ48" i="5"/>
  <c r="BH48" i="5"/>
  <c r="BG48" i="5"/>
  <c r="AR48" i="5"/>
  <c r="AQ48" i="5"/>
  <c r="AM48" i="5"/>
  <c r="AL48" i="5"/>
  <c r="AH48" i="5"/>
  <c r="AG48" i="5"/>
  <c r="X48" i="5"/>
  <c r="Q48" i="5"/>
  <c r="P48" i="5"/>
  <c r="L48" i="5"/>
  <c r="J48" i="5"/>
  <c r="H48" i="5"/>
  <c r="D48" i="5"/>
  <c r="EX47" i="5"/>
  <c r="EZ51" i="5" s="1"/>
  <c r="EW47" i="5"/>
  <c r="ES47" i="5"/>
  <c r="EU51" i="5" s="1"/>
  <c r="ER47" i="5"/>
  <c r="DS47" i="5"/>
  <c r="DR47" i="5"/>
  <c r="DQ47" i="5"/>
  <c r="DP47" i="5"/>
  <c r="DD47" i="5"/>
  <c r="DC47" i="5"/>
  <c r="DE47" i="5" s="1"/>
  <c r="CJ47" i="5"/>
  <c r="CI47" i="5"/>
  <c r="CG47" i="5"/>
  <c r="CF47" i="5"/>
  <c r="CB47" i="5"/>
  <c r="CA47" i="5"/>
  <c r="DG71" i="5" s="1"/>
  <c r="BZ47" i="5"/>
  <c r="BS47" i="5"/>
  <c r="BR47" i="5"/>
  <c r="BQ47" i="5"/>
  <c r="BJ47" i="5"/>
  <c r="BH47" i="5"/>
  <c r="BG47" i="5"/>
  <c r="AR47" i="5"/>
  <c r="AQ47" i="5"/>
  <c r="AM47" i="5"/>
  <c r="AL47" i="5"/>
  <c r="AH47" i="5"/>
  <c r="AG47" i="5"/>
  <c r="X47" i="5"/>
  <c r="Q47" i="5"/>
  <c r="P47" i="5"/>
  <c r="L47" i="5"/>
  <c r="J47" i="5"/>
  <c r="H47" i="5"/>
  <c r="D47" i="5"/>
  <c r="EZ46" i="5"/>
  <c r="EX46" i="5"/>
  <c r="EW46" i="5"/>
  <c r="EU46" i="5"/>
  <c r="ES46" i="5"/>
  <c r="ER46" i="5"/>
  <c r="DS46" i="5"/>
  <c r="DR46" i="5"/>
  <c r="DQ46" i="5"/>
  <c r="DP46" i="5"/>
  <c r="DG46" i="5"/>
  <c r="DD46" i="5"/>
  <c r="DC46" i="5"/>
  <c r="CJ46" i="5"/>
  <c r="CI46" i="5"/>
  <c r="CG46" i="5"/>
  <c r="CF46" i="5"/>
  <c r="CB46" i="5"/>
  <c r="CA46" i="5"/>
  <c r="DG70" i="5" s="1"/>
  <c r="BZ46" i="5"/>
  <c r="BS46" i="5"/>
  <c r="BR46" i="5"/>
  <c r="BQ46" i="5"/>
  <c r="BL46" i="5"/>
  <c r="BM50" i="5" s="1"/>
  <c r="BJ46" i="5"/>
  <c r="BH46" i="5"/>
  <c r="BG46" i="5"/>
  <c r="AR46" i="5"/>
  <c r="AQ46" i="5"/>
  <c r="AM46" i="5"/>
  <c r="AL46" i="5"/>
  <c r="AH46" i="5"/>
  <c r="AG46" i="5"/>
  <c r="X46" i="5"/>
  <c r="Q46" i="5"/>
  <c r="P46" i="5"/>
  <c r="L46" i="5"/>
  <c r="J46" i="5"/>
  <c r="H46" i="5"/>
  <c r="D46" i="5"/>
  <c r="EY45" i="5"/>
  <c r="EX45" i="5"/>
  <c r="EZ49" i="5" s="1"/>
  <c r="EW45" i="5"/>
  <c r="EY49" i="5" s="1"/>
  <c r="ET45" i="5"/>
  <c r="ES45" i="5"/>
  <c r="EU49" i="5" s="1"/>
  <c r="ER45" i="5"/>
  <c r="ET49" i="5" s="1"/>
  <c r="DS45" i="5"/>
  <c r="DR45" i="5"/>
  <c r="DQ45" i="5"/>
  <c r="DP45" i="5"/>
  <c r="DF45" i="5"/>
  <c r="DD45" i="5"/>
  <c r="DF49" i="5" s="1"/>
  <c r="DC45" i="5"/>
  <c r="CJ45" i="5"/>
  <c r="CI45" i="5"/>
  <c r="CG45" i="5"/>
  <c r="CF45" i="5"/>
  <c r="CB45" i="5"/>
  <c r="CA45" i="5"/>
  <c r="DG69" i="5" s="1"/>
  <c r="BZ45" i="5"/>
  <c r="BS45" i="5"/>
  <c r="BR45" i="5"/>
  <c r="BQ45" i="5"/>
  <c r="BM45" i="5"/>
  <c r="BL45" i="5"/>
  <c r="BM49" i="5" s="1"/>
  <c r="BJ45" i="5"/>
  <c r="BH45" i="5"/>
  <c r="BG45" i="5"/>
  <c r="AR45" i="5"/>
  <c r="AQ45" i="5"/>
  <c r="AM45" i="5"/>
  <c r="AL45" i="5"/>
  <c r="AH45" i="5"/>
  <c r="AG45" i="5"/>
  <c r="X45" i="5"/>
  <c r="Q45" i="5"/>
  <c r="P45" i="5"/>
  <c r="L45" i="5"/>
  <c r="J45" i="5"/>
  <c r="H45" i="5"/>
  <c r="D45" i="5"/>
  <c r="EX44" i="5"/>
  <c r="EZ44" i="5" s="1"/>
  <c r="EW44" i="5"/>
  <c r="EY44" i="5" s="1"/>
  <c r="ES44" i="5"/>
  <c r="ER44" i="5"/>
  <c r="ET44" i="5" s="1"/>
  <c r="DS44" i="5"/>
  <c r="DR44" i="5"/>
  <c r="DQ44" i="5"/>
  <c r="DP44" i="5"/>
  <c r="DE44" i="5"/>
  <c r="DD44" i="5"/>
  <c r="DC44" i="5"/>
  <c r="CJ44" i="5"/>
  <c r="CI44" i="5"/>
  <c r="CG44" i="5"/>
  <c r="CF44" i="5"/>
  <c r="CB44" i="5"/>
  <c r="CA44" i="5"/>
  <c r="DG68" i="5" s="1"/>
  <c r="BZ44" i="5"/>
  <c r="BS44" i="5"/>
  <c r="BR44" i="5"/>
  <c r="BQ44" i="5"/>
  <c r="BM44" i="5"/>
  <c r="BJ44" i="5"/>
  <c r="BH44" i="5"/>
  <c r="BG44" i="5"/>
  <c r="AR44" i="5"/>
  <c r="AQ44" i="5"/>
  <c r="AM44" i="5"/>
  <c r="AL44" i="5"/>
  <c r="AH44" i="5"/>
  <c r="AG44" i="5"/>
  <c r="X44" i="5"/>
  <c r="Q44" i="5"/>
  <c r="P44" i="5"/>
  <c r="L44" i="5"/>
  <c r="J44" i="5"/>
  <c r="H44" i="5"/>
  <c r="D44" i="5"/>
  <c r="EZ43" i="5"/>
  <c r="EX43" i="5"/>
  <c r="EZ47" i="5" s="1"/>
  <c r="EW43" i="5"/>
  <c r="ES43" i="5"/>
  <c r="EU47" i="5" s="1"/>
  <c r="ER43" i="5"/>
  <c r="EE43" i="5"/>
  <c r="ED43" i="5"/>
  <c r="DS43" i="5"/>
  <c r="DR43" i="5"/>
  <c r="DQ43" i="5"/>
  <c r="DP43" i="5"/>
  <c r="DE43" i="5"/>
  <c r="DD43" i="5"/>
  <c r="DC43" i="5"/>
  <c r="CJ43" i="5"/>
  <c r="CI43" i="5"/>
  <c r="CG43" i="5"/>
  <c r="CF43" i="5"/>
  <c r="CB43" i="5"/>
  <c r="CA43" i="5"/>
  <c r="DG67" i="5" s="1"/>
  <c r="BZ43" i="5"/>
  <c r="BS43" i="5"/>
  <c r="BR43" i="5"/>
  <c r="BQ43" i="5"/>
  <c r="BM43" i="5"/>
  <c r="BJ43" i="5"/>
  <c r="BH43" i="5"/>
  <c r="BG43" i="5"/>
  <c r="BA43" i="5"/>
  <c r="AZ43" i="5"/>
  <c r="AV43" i="5"/>
  <c r="AR43" i="5"/>
  <c r="AQ43" i="5"/>
  <c r="AM43" i="5"/>
  <c r="AL43" i="5"/>
  <c r="AH43" i="5"/>
  <c r="AG43" i="5"/>
  <c r="X43" i="5"/>
  <c r="Q43" i="5"/>
  <c r="P43" i="5"/>
  <c r="L43" i="5"/>
  <c r="J43" i="5"/>
  <c r="H43" i="5"/>
  <c r="D43" i="5"/>
  <c r="EY42" i="5"/>
  <c r="EX42" i="5"/>
  <c r="EZ42" i="5" s="1"/>
  <c r="EW42" i="5"/>
  <c r="EY46" i="5" s="1"/>
  <c r="ET42" i="5"/>
  <c r="ES42" i="5"/>
  <c r="ER42" i="5"/>
  <c r="ET46" i="5" s="1"/>
  <c r="EG42" i="5"/>
  <c r="EF42" i="5"/>
  <c r="EE42" i="5"/>
  <c r="ED42" i="5"/>
  <c r="DS42" i="5"/>
  <c r="DR42" i="5"/>
  <c r="DQ42" i="5"/>
  <c r="DP42" i="5"/>
  <c r="DD42" i="5"/>
  <c r="DF46" i="5" s="1"/>
  <c r="DC42" i="5"/>
  <c r="CJ42" i="5"/>
  <c r="CI42" i="5"/>
  <c r="CG42" i="5"/>
  <c r="CF42" i="5"/>
  <c r="CB42" i="5"/>
  <c r="CA42" i="5"/>
  <c r="DG66" i="5" s="1"/>
  <c r="BZ42" i="5"/>
  <c r="BS42" i="5"/>
  <c r="BR42" i="5"/>
  <c r="BQ42" i="5"/>
  <c r="BM42" i="5"/>
  <c r="BJ42" i="5"/>
  <c r="BH42" i="5"/>
  <c r="BG42" i="5"/>
  <c r="BA42" i="5"/>
  <c r="AZ42" i="5"/>
  <c r="AV42" i="5"/>
  <c r="AR42" i="5"/>
  <c r="AQ42" i="5"/>
  <c r="AM42" i="5"/>
  <c r="AL42" i="5"/>
  <c r="AH42" i="5"/>
  <c r="AG42" i="5"/>
  <c r="X42" i="5"/>
  <c r="Q42" i="5"/>
  <c r="P42" i="5"/>
  <c r="L42" i="5"/>
  <c r="J42" i="5"/>
  <c r="H42" i="5"/>
  <c r="D42" i="5"/>
  <c r="EZ41" i="5"/>
  <c r="EX41" i="5"/>
  <c r="EW41" i="5"/>
  <c r="ES41" i="5"/>
  <c r="ER41" i="5"/>
  <c r="EG41" i="5"/>
  <c r="EF41" i="5"/>
  <c r="EE41" i="5"/>
  <c r="ED41" i="5"/>
  <c r="DS41" i="5"/>
  <c r="DR41" i="5"/>
  <c r="DQ41" i="5"/>
  <c r="DP41" i="5"/>
  <c r="DD41" i="5"/>
  <c r="DC41" i="5"/>
  <c r="CJ41" i="5"/>
  <c r="CI41" i="5"/>
  <c r="CG41" i="5"/>
  <c r="CF41" i="5"/>
  <c r="CB41" i="5"/>
  <c r="CA41" i="5"/>
  <c r="DG65" i="5" s="1"/>
  <c r="BZ41" i="5"/>
  <c r="BS41" i="5"/>
  <c r="BR41" i="5"/>
  <c r="BQ41" i="5"/>
  <c r="BM41" i="5"/>
  <c r="BJ41" i="5"/>
  <c r="BH41" i="5"/>
  <c r="BG41" i="5"/>
  <c r="BA41" i="5"/>
  <c r="AZ41" i="5"/>
  <c r="AV41" i="5"/>
  <c r="AR41" i="5"/>
  <c r="AQ41" i="5"/>
  <c r="AM41" i="5"/>
  <c r="AM57" i="5" s="1" a="1"/>
  <c r="AM57" i="5" s="1"/>
  <c r="AL41" i="5"/>
  <c r="AH41" i="5"/>
  <c r="AG41" i="5"/>
  <c r="X41" i="5"/>
  <c r="Q41" i="5"/>
  <c r="P41" i="5"/>
  <c r="L41" i="5"/>
  <c r="J41" i="5"/>
  <c r="H41" i="5"/>
  <c r="D41" i="5"/>
  <c r="EX40" i="5"/>
  <c r="EW40" i="5"/>
  <c r="EY40" i="5" s="1"/>
  <c r="ES40" i="5"/>
  <c r="ER40" i="5"/>
  <c r="ET40" i="5" s="1"/>
  <c r="EG40" i="5"/>
  <c r="EF40" i="5"/>
  <c r="EE40" i="5"/>
  <c r="ED40" i="5"/>
  <c r="DS40" i="5"/>
  <c r="DR40" i="5"/>
  <c r="DQ40" i="5"/>
  <c r="DP40" i="5"/>
  <c r="DD40" i="5"/>
  <c r="DC40" i="5"/>
  <c r="DE40" i="5" s="1"/>
  <c r="CJ40" i="5"/>
  <c r="CI40" i="5"/>
  <c r="CG40" i="5"/>
  <c r="CF40" i="5"/>
  <c r="CB40" i="5"/>
  <c r="CA40" i="5"/>
  <c r="DG64" i="5" s="1"/>
  <c r="BZ40" i="5"/>
  <c r="BS40" i="5"/>
  <c r="BR40" i="5"/>
  <c r="BQ40" i="5"/>
  <c r="BM40" i="5"/>
  <c r="BJ40" i="5"/>
  <c r="BH40" i="5"/>
  <c r="BG40" i="5"/>
  <c r="BA40" i="5"/>
  <c r="AZ40" i="5"/>
  <c r="AV40" i="5"/>
  <c r="AR40" i="5"/>
  <c r="AQ40" i="5"/>
  <c r="AM40" i="5"/>
  <c r="AL40" i="5"/>
  <c r="AH40" i="5"/>
  <c r="AG40" i="5"/>
  <c r="X40" i="5"/>
  <c r="Q40" i="5"/>
  <c r="P40" i="5"/>
  <c r="L40" i="5"/>
  <c r="J40" i="5"/>
  <c r="H40" i="5"/>
  <c r="D40" i="5"/>
  <c r="EX39" i="5"/>
  <c r="EZ39" i="5" s="1"/>
  <c r="EW39" i="5"/>
  <c r="EY43" i="5" s="1"/>
  <c r="ES39" i="5"/>
  <c r="EU39" i="5" s="1"/>
  <c r="ER39" i="5"/>
  <c r="ET43" i="5" s="1"/>
  <c r="EG39" i="5"/>
  <c r="EF39" i="5"/>
  <c r="EE39" i="5"/>
  <c r="ED39" i="5"/>
  <c r="DS39" i="5"/>
  <c r="DR39" i="5"/>
  <c r="DQ39" i="5"/>
  <c r="DP39" i="5"/>
  <c r="DD39" i="5"/>
  <c r="DF39" i="5" s="1"/>
  <c r="DC39" i="5"/>
  <c r="DE39" i="5" s="1"/>
  <c r="CJ39" i="5"/>
  <c r="CI39" i="5"/>
  <c r="CG39" i="5"/>
  <c r="CF39" i="5"/>
  <c r="CB39" i="5"/>
  <c r="CA39" i="5"/>
  <c r="DG63" i="5" s="1"/>
  <c r="BZ39" i="5"/>
  <c r="BS39" i="5"/>
  <c r="BR39" i="5"/>
  <c r="BQ39" i="5"/>
  <c r="BM39" i="5"/>
  <c r="BJ39" i="5"/>
  <c r="BH39" i="5"/>
  <c r="BG39" i="5"/>
  <c r="BA39" i="5"/>
  <c r="AZ39" i="5"/>
  <c r="AV39" i="5"/>
  <c r="AR39" i="5"/>
  <c r="AQ39" i="5"/>
  <c r="AM39" i="5"/>
  <c r="AL39" i="5"/>
  <c r="AH39" i="5"/>
  <c r="AG39" i="5"/>
  <c r="X39" i="5"/>
  <c r="Q39" i="5"/>
  <c r="P39" i="5"/>
  <c r="L39" i="5"/>
  <c r="J39" i="5"/>
  <c r="H39" i="5"/>
  <c r="D39" i="5"/>
  <c r="EX38" i="5"/>
  <c r="EZ38" i="5" s="1"/>
  <c r="EW38" i="5"/>
  <c r="EY38" i="5" s="1"/>
  <c r="ES38" i="5"/>
  <c r="EU38" i="5" s="1"/>
  <c r="ER38" i="5"/>
  <c r="ET38" i="5" s="1"/>
  <c r="EG38" i="5"/>
  <c r="EF38" i="5"/>
  <c r="EE38" i="5"/>
  <c r="ED38" i="5"/>
  <c r="DS38" i="5"/>
  <c r="DR38" i="5"/>
  <c r="DQ38" i="5"/>
  <c r="DP38" i="5"/>
  <c r="DD38" i="5"/>
  <c r="DF38" i="5" s="1"/>
  <c r="DC38" i="5"/>
  <c r="DE42" i="5" s="1"/>
  <c r="CJ38" i="5"/>
  <c r="CI38" i="5"/>
  <c r="CG38" i="5"/>
  <c r="CF38" i="5"/>
  <c r="CB38" i="5"/>
  <c r="CA38" i="5"/>
  <c r="DG62" i="5" s="1"/>
  <c r="BZ38" i="5"/>
  <c r="BS38" i="5"/>
  <c r="BR38" i="5"/>
  <c r="BQ38" i="5"/>
  <c r="BM38" i="5"/>
  <c r="BJ38" i="5"/>
  <c r="BH38" i="5"/>
  <c r="BG38" i="5"/>
  <c r="BA38" i="5"/>
  <c r="AZ38" i="5"/>
  <c r="AV38" i="5"/>
  <c r="AR38" i="5"/>
  <c r="AQ38" i="5"/>
  <c r="AM38" i="5"/>
  <c r="AL38" i="5"/>
  <c r="AH38" i="5"/>
  <c r="AG38" i="5"/>
  <c r="X38" i="5"/>
  <c r="Q38" i="5"/>
  <c r="P38" i="5"/>
  <c r="L38" i="5"/>
  <c r="J38" i="5"/>
  <c r="H38" i="5"/>
  <c r="D38" i="5"/>
  <c r="EX37" i="5"/>
  <c r="EZ37" i="5" s="1"/>
  <c r="EW37" i="5"/>
  <c r="EY41" i="5" s="1"/>
  <c r="ES37" i="5"/>
  <c r="EU37" i="5" s="1"/>
  <c r="ER37" i="5"/>
  <c r="ET41" i="5" s="1"/>
  <c r="EG37" i="5"/>
  <c r="EF37" i="5"/>
  <c r="EE37" i="5"/>
  <c r="ED37" i="5"/>
  <c r="DS37" i="5"/>
  <c r="DR37" i="5"/>
  <c r="DQ37" i="5"/>
  <c r="DP37" i="5"/>
  <c r="DD37" i="5"/>
  <c r="DC37" i="5"/>
  <c r="DE37" i="5" s="1"/>
  <c r="CJ37" i="5"/>
  <c r="CI37" i="5"/>
  <c r="CG37" i="5"/>
  <c r="CF37" i="5"/>
  <c r="CB37" i="5"/>
  <c r="CA37" i="5"/>
  <c r="DG61" i="5" s="1"/>
  <c r="BZ37" i="5"/>
  <c r="BS37" i="5"/>
  <c r="BR37" i="5"/>
  <c r="BQ37" i="5"/>
  <c r="BM37" i="5"/>
  <c r="BJ37" i="5"/>
  <c r="BH37" i="5"/>
  <c r="BG37" i="5"/>
  <c r="BA37" i="5"/>
  <c r="AZ37" i="5"/>
  <c r="AV37" i="5"/>
  <c r="AR37" i="5"/>
  <c r="AQ37" i="5"/>
  <c r="AM37" i="5"/>
  <c r="AL37" i="5"/>
  <c r="AH37" i="5"/>
  <c r="AG37" i="5"/>
  <c r="X37" i="5"/>
  <c r="Q37" i="5"/>
  <c r="P37" i="5"/>
  <c r="L37" i="5"/>
  <c r="J37" i="5"/>
  <c r="H37" i="5"/>
  <c r="D37" i="5"/>
  <c r="EX36" i="5"/>
  <c r="EW36" i="5"/>
  <c r="EY36" i="5" s="1"/>
  <c r="ES36" i="5"/>
  <c r="ER36" i="5"/>
  <c r="ET36" i="5" s="1"/>
  <c r="EG36" i="5"/>
  <c r="EF36" i="5"/>
  <c r="EE36" i="5"/>
  <c r="ED36" i="5"/>
  <c r="DS36" i="5"/>
  <c r="DR36" i="5"/>
  <c r="DQ36" i="5"/>
  <c r="DP36" i="5"/>
  <c r="DD36" i="5"/>
  <c r="DF36" i="5" s="1"/>
  <c r="DC36" i="5"/>
  <c r="DE36" i="5" s="1"/>
  <c r="CJ36" i="5"/>
  <c r="CI36" i="5"/>
  <c r="CG36" i="5"/>
  <c r="CF36" i="5"/>
  <c r="CB36" i="5"/>
  <c r="CA36" i="5"/>
  <c r="DG60" i="5" s="1"/>
  <c r="BZ36" i="5"/>
  <c r="BS36" i="5"/>
  <c r="BR36" i="5"/>
  <c r="BQ36" i="5"/>
  <c r="BM36" i="5"/>
  <c r="BJ36" i="5"/>
  <c r="BI36" i="5"/>
  <c r="BH36" i="5"/>
  <c r="BG36" i="5"/>
  <c r="BA36" i="5"/>
  <c r="AZ36" i="5"/>
  <c r="AV36" i="5"/>
  <c r="AR36" i="5"/>
  <c r="AQ36" i="5"/>
  <c r="AM36" i="5"/>
  <c r="AL36" i="5"/>
  <c r="AH36" i="5"/>
  <c r="AG36" i="5"/>
  <c r="X36" i="5"/>
  <c r="Q36" i="5"/>
  <c r="P36" i="5"/>
  <c r="L36" i="5"/>
  <c r="J36" i="5"/>
  <c r="H36" i="5"/>
  <c r="D36" i="5"/>
  <c r="EY35" i="5"/>
  <c r="EX35" i="5"/>
  <c r="EZ35" i="5" s="1"/>
  <c r="EW35" i="5"/>
  <c r="ET35" i="5"/>
  <c r="ES35" i="5"/>
  <c r="EU35" i="5" s="1"/>
  <c r="ER35" i="5"/>
  <c r="EG35" i="5"/>
  <c r="EF35" i="5"/>
  <c r="EE35" i="5"/>
  <c r="ED35" i="5"/>
  <c r="DS35" i="5"/>
  <c r="DR35" i="5"/>
  <c r="DQ35" i="5"/>
  <c r="DP35" i="5"/>
  <c r="DE35" i="5"/>
  <c r="DD35" i="5"/>
  <c r="DF35" i="5" s="1"/>
  <c r="DC35" i="5"/>
  <c r="CJ35" i="5"/>
  <c r="CI35" i="5"/>
  <c r="CG35" i="5"/>
  <c r="CF35" i="5"/>
  <c r="CB35" i="5"/>
  <c r="CA35" i="5"/>
  <c r="DG59" i="5" s="1"/>
  <c r="BZ35" i="5"/>
  <c r="BS35" i="5"/>
  <c r="BR35" i="5"/>
  <c r="BQ35" i="5"/>
  <c r="BM35" i="5"/>
  <c r="BJ35" i="5"/>
  <c r="BH35" i="5"/>
  <c r="BG35" i="5"/>
  <c r="BA35" i="5"/>
  <c r="AZ35" i="5"/>
  <c r="AV35" i="5"/>
  <c r="AR35" i="5"/>
  <c r="AQ35" i="5"/>
  <c r="AM35" i="5"/>
  <c r="AL35" i="5"/>
  <c r="AH35" i="5"/>
  <c r="AG35" i="5"/>
  <c r="X35" i="5"/>
  <c r="Q35" i="5"/>
  <c r="P35" i="5"/>
  <c r="L35" i="5"/>
  <c r="J35" i="5"/>
  <c r="H35" i="5"/>
  <c r="D35" i="5"/>
  <c r="EY34" i="5"/>
  <c r="EX34" i="5"/>
  <c r="EZ34" i="5" s="1"/>
  <c r="EW34" i="5"/>
  <c r="ET34" i="5"/>
  <c r="ES34" i="5"/>
  <c r="EU34" i="5" s="1"/>
  <c r="ER34" i="5"/>
  <c r="EG34" i="5"/>
  <c r="EF34" i="5"/>
  <c r="EE34" i="5"/>
  <c r="ED34" i="5"/>
  <c r="DS34" i="5"/>
  <c r="DR34" i="5"/>
  <c r="DQ34" i="5"/>
  <c r="DP34" i="5"/>
  <c r="DE34" i="5"/>
  <c r="DD34" i="5"/>
  <c r="DF34" i="5" s="1"/>
  <c r="DC34" i="5"/>
  <c r="CJ34" i="5"/>
  <c r="CI34" i="5"/>
  <c r="CG34" i="5"/>
  <c r="CF34" i="5"/>
  <c r="CB34" i="5"/>
  <c r="CA34" i="5"/>
  <c r="DG58" i="5" s="1"/>
  <c r="BZ34" i="5"/>
  <c r="BS34" i="5"/>
  <c r="BR34" i="5"/>
  <c r="BQ34" i="5"/>
  <c r="BM34" i="5"/>
  <c r="BJ34" i="5"/>
  <c r="BH34" i="5"/>
  <c r="BG34" i="5"/>
  <c r="BA34" i="5"/>
  <c r="AZ34" i="5"/>
  <c r="AV34" i="5"/>
  <c r="AR34" i="5"/>
  <c r="AQ34" i="5"/>
  <c r="AM34" i="5"/>
  <c r="AL34" i="5"/>
  <c r="AH34" i="5"/>
  <c r="AG34" i="5"/>
  <c r="X34" i="5"/>
  <c r="Q34" i="5"/>
  <c r="P34" i="5"/>
  <c r="L34" i="5"/>
  <c r="J34" i="5"/>
  <c r="H34" i="5"/>
  <c r="D34" i="5"/>
  <c r="EY33" i="5"/>
  <c r="EX33" i="5"/>
  <c r="EW33" i="5"/>
  <c r="ET33" i="5"/>
  <c r="ES33" i="5"/>
  <c r="ER33" i="5"/>
  <c r="EG33" i="5"/>
  <c r="EF33" i="5"/>
  <c r="EE33" i="5"/>
  <c r="ED33" i="5"/>
  <c r="DS33" i="5"/>
  <c r="DR33" i="5"/>
  <c r="DQ33" i="5"/>
  <c r="DP33" i="5"/>
  <c r="DE33" i="5"/>
  <c r="DD33" i="5"/>
  <c r="DC33" i="5"/>
  <c r="CJ33" i="5"/>
  <c r="CI33" i="5"/>
  <c r="CG33" i="5"/>
  <c r="CF33" i="5"/>
  <c r="CB33" i="5"/>
  <c r="CA33" i="5"/>
  <c r="DG57" i="5" s="1"/>
  <c r="BZ33" i="5"/>
  <c r="BS33" i="5"/>
  <c r="BR33" i="5"/>
  <c r="BQ33" i="5"/>
  <c r="BM33" i="5"/>
  <c r="BJ33" i="5"/>
  <c r="BH33" i="5"/>
  <c r="BG33" i="5"/>
  <c r="BA33" i="5"/>
  <c r="AZ33" i="5"/>
  <c r="AV33" i="5"/>
  <c r="AR33" i="5"/>
  <c r="AQ33" i="5"/>
  <c r="AM33" i="5"/>
  <c r="AL33" i="5"/>
  <c r="AH33" i="5"/>
  <c r="AG33" i="5"/>
  <c r="X33" i="5"/>
  <c r="Q33" i="5"/>
  <c r="P33" i="5"/>
  <c r="L33" i="5"/>
  <c r="J33" i="5"/>
  <c r="H33" i="5"/>
  <c r="D33" i="5"/>
  <c r="EY32" i="5"/>
  <c r="EX32" i="5"/>
  <c r="EW32" i="5"/>
  <c r="ET32" i="5"/>
  <c r="ES32" i="5"/>
  <c r="ER32" i="5"/>
  <c r="EG32" i="5"/>
  <c r="EF32" i="5"/>
  <c r="EE32" i="5"/>
  <c r="ED32" i="5"/>
  <c r="DS32" i="5"/>
  <c r="DR32" i="5"/>
  <c r="DQ32" i="5"/>
  <c r="DP32" i="5"/>
  <c r="DE32" i="5"/>
  <c r="DD32" i="5"/>
  <c r="DC32" i="5"/>
  <c r="CJ32" i="5"/>
  <c r="CI32" i="5"/>
  <c r="CG32" i="5"/>
  <c r="CF32" i="5"/>
  <c r="CB32" i="5"/>
  <c r="CA32" i="5"/>
  <c r="DG56" i="5" s="1"/>
  <c r="BZ32" i="5"/>
  <c r="BS32" i="5"/>
  <c r="BR32" i="5"/>
  <c r="BQ32" i="5"/>
  <c r="BM32" i="5"/>
  <c r="BJ32" i="5"/>
  <c r="BI32" i="5"/>
  <c r="BH32" i="5"/>
  <c r="BG32" i="5"/>
  <c r="BA32" i="5"/>
  <c r="AZ32" i="5"/>
  <c r="AV32" i="5"/>
  <c r="AR32" i="5"/>
  <c r="AQ32" i="5"/>
  <c r="AM32" i="5"/>
  <c r="AL32" i="5"/>
  <c r="AH32" i="5"/>
  <c r="AG32" i="5"/>
  <c r="X32" i="5"/>
  <c r="Q32" i="5"/>
  <c r="P32" i="5"/>
  <c r="L32" i="5"/>
  <c r="J32" i="5"/>
  <c r="H32" i="5"/>
  <c r="D32" i="5"/>
  <c r="EZ31" i="5"/>
  <c r="EX31" i="5"/>
  <c r="EW31" i="5"/>
  <c r="EU31" i="5"/>
  <c r="ES31" i="5"/>
  <c r="ER31" i="5"/>
  <c r="EG31" i="5"/>
  <c r="EF31" i="5"/>
  <c r="EE31" i="5"/>
  <c r="ED31" i="5"/>
  <c r="DS31" i="5"/>
  <c r="DR31" i="5"/>
  <c r="DQ31" i="5"/>
  <c r="DP31" i="5"/>
  <c r="DF31" i="5"/>
  <c r="DD31" i="5"/>
  <c r="DC31" i="5"/>
  <c r="CJ31" i="5"/>
  <c r="CI31" i="5"/>
  <c r="CG31" i="5"/>
  <c r="CF31" i="5"/>
  <c r="CB31" i="5"/>
  <c r="CA31" i="5"/>
  <c r="BZ31" i="5"/>
  <c r="BS31" i="5"/>
  <c r="BR31" i="5"/>
  <c r="BQ31" i="5"/>
  <c r="BM31" i="5"/>
  <c r="BJ31" i="5"/>
  <c r="BH31" i="5"/>
  <c r="BG31" i="5"/>
  <c r="BA31" i="5"/>
  <c r="AZ31" i="5"/>
  <c r="AV31" i="5"/>
  <c r="AR31" i="5"/>
  <c r="AQ31" i="5"/>
  <c r="AM31" i="5"/>
  <c r="AL31" i="5"/>
  <c r="AH31" i="5"/>
  <c r="AG31" i="5"/>
  <c r="X31" i="5"/>
  <c r="Q31" i="5"/>
  <c r="P31" i="5"/>
  <c r="L31" i="5"/>
  <c r="J31" i="5"/>
  <c r="H31" i="5"/>
  <c r="D31" i="5"/>
  <c r="EZ30" i="5"/>
  <c r="EX30" i="5"/>
  <c r="EW30" i="5"/>
  <c r="EY30" i="5" s="1"/>
  <c r="EU30" i="5"/>
  <c r="ES30" i="5"/>
  <c r="ER30" i="5"/>
  <c r="EG30" i="5"/>
  <c r="EF30" i="5"/>
  <c r="EE30" i="5"/>
  <c r="ED30" i="5"/>
  <c r="DS30" i="5"/>
  <c r="DR30" i="5"/>
  <c r="DQ30" i="5"/>
  <c r="DP30" i="5"/>
  <c r="DF30" i="5"/>
  <c r="DD30" i="5"/>
  <c r="DC30" i="5"/>
  <c r="CJ30" i="5"/>
  <c r="CI30" i="5"/>
  <c r="CG30" i="5"/>
  <c r="CF30" i="5"/>
  <c r="CB30" i="5"/>
  <c r="CA30" i="5"/>
  <c r="DG54" i="5" s="1"/>
  <c r="BZ30" i="5"/>
  <c r="BS30" i="5"/>
  <c r="BR30" i="5"/>
  <c r="BQ30" i="5"/>
  <c r="BM30" i="5"/>
  <c r="BJ30" i="5"/>
  <c r="BH30" i="5"/>
  <c r="BG30" i="5"/>
  <c r="BA30" i="5"/>
  <c r="AZ30" i="5"/>
  <c r="AV30" i="5"/>
  <c r="AR30" i="5"/>
  <c r="AQ30" i="5"/>
  <c r="AM30" i="5"/>
  <c r="AL30" i="5"/>
  <c r="AH30" i="5"/>
  <c r="AG30" i="5"/>
  <c r="X30" i="5"/>
  <c r="Q30" i="5"/>
  <c r="P30" i="5"/>
  <c r="L30" i="5"/>
  <c r="J30" i="5"/>
  <c r="H30" i="5"/>
  <c r="D30" i="5"/>
  <c r="EZ29" i="5"/>
  <c r="EX29" i="5"/>
  <c r="EZ33" i="5" s="1"/>
  <c r="EW29" i="5"/>
  <c r="EU29" i="5"/>
  <c r="ES29" i="5"/>
  <c r="EU33" i="5" s="1"/>
  <c r="ER29" i="5"/>
  <c r="ET29" i="5" s="1"/>
  <c r="EG29" i="5"/>
  <c r="EF29" i="5"/>
  <c r="EE29" i="5"/>
  <c r="ED29" i="5"/>
  <c r="DS29" i="5"/>
  <c r="DR29" i="5"/>
  <c r="DQ29" i="5"/>
  <c r="DP29" i="5"/>
  <c r="DF29" i="5"/>
  <c r="DD29" i="5"/>
  <c r="DF33" i="5" s="1"/>
  <c r="DC29" i="5"/>
  <c r="CJ29" i="5"/>
  <c r="CI29" i="5"/>
  <c r="CG29" i="5"/>
  <c r="CF29" i="5"/>
  <c r="CB29" i="5"/>
  <c r="CA29" i="5"/>
  <c r="DG53" i="5" s="1"/>
  <c r="BZ29" i="5"/>
  <c r="BS29" i="5"/>
  <c r="BR29" i="5"/>
  <c r="BQ29" i="5"/>
  <c r="BM29" i="5"/>
  <c r="BJ29" i="5"/>
  <c r="BH29" i="5"/>
  <c r="BG29" i="5"/>
  <c r="BA29" i="5"/>
  <c r="AZ29" i="5"/>
  <c r="AV29" i="5"/>
  <c r="AR29" i="5"/>
  <c r="AQ29" i="5"/>
  <c r="AM29" i="5"/>
  <c r="AL29" i="5"/>
  <c r="AH29" i="5"/>
  <c r="AG29" i="5"/>
  <c r="X29" i="5"/>
  <c r="Q29" i="5"/>
  <c r="P29" i="5"/>
  <c r="L29" i="5"/>
  <c r="J29" i="5"/>
  <c r="H29" i="5"/>
  <c r="D29" i="5"/>
  <c r="EZ28" i="5"/>
  <c r="EX28" i="5"/>
  <c r="EZ32" i="5" s="1"/>
  <c r="EW28" i="5"/>
  <c r="EU28" i="5"/>
  <c r="ES28" i="5"/>
  <c r="EU32" i="5" s="1"/>
  <c r="ER28" i="5"/>
  <c r="EG28" i="5"/>
  <c r="EF28" i="5"/>
  <c r="EE28" i="5"/>
  <c r="ED28" i="5"/>
  <c r="DS28" i="5"/>
  <c r="DR28" i="5"/>
  <c r="DQ28" i="5"/>
  <c r="DP28" i="5"/>
  <c r="DF28" i="5"/>
  <c r="DD28" i="5"/>
  <c r="DF32" i="5" s="1"/>
  <c r="DC28" i="5"/>
  <c r="DE28" i="5" s="1"/>
  <c r="CJ28" i="5"/>
  <c r="CI28" i="5"/>
  <c r="CG28" i="5"/>
  <c r="CF28" i="5"/>
  <c r="CB28" i="5"/>
  <c r="CA28" i="5"/>
  <c r="DG52" i="5" s="1"/>
  <c r="BZ28" i="5"/>
  <c r="BS28" i="5"/>
  <c r="BR28" i="5"/>
  <c r="BQ28" i="5"/>
  <c r="BM28" i="5"/>
  <c r="BJ28" i="5"/>
  <c r="BI28" i="5"/>
  <c r="BH28" i="5"/>
  <c r="BG28" i="5"/>
  <c r="BA28" i="5"/>
  <c r="AZ28" i="5"/>
  <c r="AV28" i="5"/>
  <c r="AR28" i="5"/>
  <c r="AQ28" i="5"/>
  <c r="AM28" i="5"/>
  <c r="AL28" i="5"/>
  <c r="AH28" i="5"/>
  <c r="AG28" i="5"/>
  <c r="X28" i="5"/>
  <c r="Q28" i="5"/>
  <c r="P28" i="5"/>
  <c r="L28" i="5"/>
  <c r="J28" i="5"/>
  <c r="H28" i="5"/>
  <c r="D28" i="5"/>
  <c r="EX27" i="5"/>
  <c r="EW27" i="5"/>
  <c r="EY27" i="5" s="1"/>
  <c r="ES27" i="5"/>
  <c r="ER27" i="5"/>
  <c r="ET27" i="5" s="1"/>
  <c r="EG27" i="5"/>
  <c r="EF27" i="5"/>
  <c r="EE27" i="5"/>
  <c r="ED27" i="5"/>
  <c r="DS27" i="5"/>
  <c r="DR27" i="5"/>
  <c r="DQ27" i="5"/>
  <c r="DP27" i="5"/>
  <c r="DD27" i="5"/>
  <c r="DC27" i="5"/>
  <c r="DE27" i="5" s="1"/>
  <c r="CJ27" i="5"/>
  <c r="CI27" i="5"/>
  <c r="CG27" i="5"/>
  <c r="CF27" i="5"/>
  <c r="CB27" i="5"/>
  <c r="CA27" i="5"/>
  <c r="DG51" i="5" s="1"/>
  <c r="BZ27" i="5"/>
  <c r="BS27" i="5"/>
  <c r="BR27" i="5"/>
  <c r="BQ27" i="5"/>
  <c r="BM27" i="5"/>
  <c r="BJ27" i="5"/>
  <c r="BH27" i="5"/>
  <c r="BG27" i="5"/>
  <c r="BA27" i="5"/>
  <c r="AZ27" i="5"/>
  <c r="AV27" i="5"/>
  <c r="AR27" i="5"/>
  <c r="AQ27" i="5"/>
  <c r="AM27" i="5"/>
  <c r="AL27" i="5"/>
  <c r="AH27" i="5"/>
  <c r="AG27" i="5"/>
  <c r="X27" i="5"/>
  <c r="Q27" i="5"/>
  <c r="P27" i="5"/>
  <c r="L27" i="5"/>
  <c r="J27" i="5"/>
  <c r="H27" i="5"/>
  <c r="D27" i="5"/>
  <c r="EX26" i="5"/>
  <c r="EZ26" i="5" s="1"/>
  <c r="EW26" i="5"/>
  <c r="EY26" i="5" s="1"/>
  <c r="ES26" i="5"/>
  <c r="ER26" i="5"/>
  <c r="ET26" i="5" s="1"/>
  <c r="EG26" i="5"/>
  <c r="EF26" i="5"/>
  <c r="EE26" i="5"/>
  <c r="ED26" i="5"/>
  <c r="DS26" i="5"/>
  <c r="DR26" i="5"/>
  <c r="DQ26" i="5"/>
  <c r="DP26" i="5"/>
  <c r="DD26" i="5"/>
  <c r="DF26" i="5" s="1"/>
  <c r="DC26" i="5"/>
  <c r="DE26" i="5" s="1"/>
  <c r="CJ26" i="5"/>
  <c r="CI26" i="5"/>
  <c r="CG26" i="5"/>
  <c r="CF26" i="5"/>
  <c r="CB26" i="5"/>
  <c r="CA26" i="5"/>
  <c r="DG50" i="5" s="1"/>
  <c r="BZ26" i="5"/>
  <c r="BS26" i="5"/>
  <c r="BR26" i="5"/>
  <c r="BQ26" i="5"/>
  <c r="BM26" i="5"/>
  <c r="BJ26" i="5"/>
  <c r="BH26" i="5"/>
  <c r="BG26" i="5"/>
  <c r="BA26" i="5"/>
  <c r="AZ26" i="5"/>
  <c r="AV26" i="5"/>
  <c r="AR26" i="5"/>
  <c r="AQ26" i="5"/>
  <c r="AM26" i="5"/>
  <c r="AL26" i="5"/>
  <c r="AH26" i="5"/>
  <c r="AG26" i="5"/>
  <c r="X26" i="5"/>
  <c r="Q26" i="5"/>
  <c r="P26" i="5"/>
  <c r="L26" i="5"/>
  <c r="J26" i="5"/>
  <c r="H26" i="5"/>
  <c r="D26" i="5"/>
  <c r="EX25" i="5"/>
  <c r="EW25" i="5"/>
  <c r="EY25" i="5" s="1"/>
  <c r="ES25" i="5"/>
  <c r="ER25" i="5"/>
  <c r="ET25" i="5" s="1"/>
  <c r="EG25" i="5"/>
  <c r="EF25" i="5"/>
  <c r="EE25" i="5"/>
  <c r="ED25" i="5"/>
  <c r="DS25" i="5"/>
  <c r="DR25" i="5"/>
  <c r="DQ25" i="5"/>
  <c r="DP25" i="5"/>
  <c r="DD25" i="5"/>
  <c r="DC25" i="5"/>
  <c r="DE25" i="5" s="1"/>
  <c r="CJ25" i="5"/>
  <c r="CI25" i="5"/>
  <c r="CG25" i="5"/>
  <c r="CF25" i="5"/>
  <c r="CB25" i="5"/>
  <c r="CA25" i="5"/>
  <c r="DG49" i="5" s="1"/>
  <c r="BZ25" i="5"/>
  <c r="BS25" i="5"/>
  <c r="BR25" i="5"/>
  <c r="BQ25" i="5"/>
  <c r="BM25" i="5"/>
  <c r="BJ25" i="5"/>
  <c r="BH25" i="5"/>
  <c r="BG25" i="5"/>
  <c r="BA25" i="5"/>
  <c r="AZ25" i="5"/>
  <c r="AV25" i="5"/>
  <c r="AR25" i="5"/>
  <c r="AQ25" i="5"/>
  <c r="AM25" i="5"/>
  <c r="AL25" i="5"/>
  <c r="AH25" i="5"/>
  <c r="AG25" i="5"/>
  <c r="X25" i="5"/>
  <c r="Q25" i="5"/>
  <c r="P25" i="5"/>
  <c r="L25" i="5"/>
  <c r="J25" i="5"/>
  <c r="H25" i="5"/>
  <c r="D25" i="5"/>
  <c r="EX24" i="5"/>
  <c r="EW24" i="5"/>
  <c r="EY24" i="5" s="1"/>
  <c r="ES24" i="5"/>
  <c r="ER24" i="5"/>
  <c r="ET24" i="5" s="1"/>
  <c r="EG24" i="5"/>
  <c r="EF24" i="5"/>
  <c r="EE24" i="5"/>
  <c r="ED24" i="5"/>
  <c r="DS24" i="5"/>
  <c r="DR24" i="5"/>
  <c r="DQ24" i="5"/>
  <c r="DP24" i="5"/>
  <c r="DD24" i="5"/>
  <c r="DC24" i="5"/>
  <c r="DE24" i="5" s="1"/>
  <c r="CJ24" i="5"/>
  <c r="CI24" i="5"/>
  <c r="CG24" i="5"/>
  <c r="CF24" i="5"/>
  <c r="CB24" i="5"/>
  <c r="CA24" i="5"/>
  <c r="DG48" i="5" s="1"/>
  <c r="BZ24" i="5"/>
  <c r="BS24" i="5"/>
  <c r="BR24" i="5"/>
  <c r="BQ24" i="5"/>
  <c r="BM24" i="5"/>
  <c r="BJ24" i="5"/>
  <c r="BI24" i="5"/>
  <c r="BH24" i="5"/>
  <c r="BG24" i="5"/>
  <c r="BA24" i="5"/>
  <c r="AZ24" i="5"/>
  <c r="AV24" i="5"/>
  <c r="AR24" i="5"/>
  <c r="AQ24" i="5"/>
  <c r="AM24" i="5"/>
  <c r="AL24" i="5"/>
  <c r="AH24" i="5"/>
  <c r="AG24" i="5"/>
  <c r="X24" i="5"/>
  <c r="Q24" i="5"/>
  <c r="P24" i="5"/>
  <c r="L24" i="5"/>
  <c r="J24" i="5"/>
  <c r="H24" i="5"/>
  <c r="D24" i="5"/>
  <c r="EX23" i="5"/>
  <c r="EZ23" i="5" s="1"/>
  <c r="EW23" i="5"/>
  <c r="EY23" i="5" s="1"/>
  <c r="ES23" i="5"/>
  <c r="EU23" i="5" s="1"/>
  <c r="ER23" i="5"/>
  <c r="ET23" i="5" s="1"/>
  <c r="EG23" i="5"/>
  <c r="EF23" i="5"/>
  <c r="EE23" i="5"/>
  <c r="ED23" i="5"/>
  <c r="DS23" i="5"/>
  <c r="DR23" i="5"/>
  <c r="DQ23" i="5"/>
  <c r="DP23" i="5"/>
  <c r="DD23" i="5"/>
  <c r="DF23" i="5" s="1"/>
  <c r="DC23" i="5"/>
  <c r="DE23" i="5" s="1"/>
  <c r="CJ23" i="5"/>
  <c r="CI23" i="5"/>
  <c r="CG23" i="5"/>
  <c r="CF23" i="5"/>
  <c r="CB23" i="5"/>
  <c r="CA23" i="5"/>
  <c r="DG47" i="5" s="1"/>
  <c r="BZ23" i="5"/>
  <c r="BS23" i="5"/>
  <c r="BR23" i="5"/>
  <c r="BQ23" i="5"/>
  <c r="BM23" i="5"/>
  <c r="BJ23" i="5"/>
  <c r="BH23" i="5"/>
  <c r="BG23" i="5"/>
  <c r="BA23" i="5"/>
  <c r="AZ23" i="5"/>
  <c r="AV23" i="5"/>
  <c r="AR23" i="5"/>
  <c r="AQ23" i="5"/>
  <c r="AM23" i="5"/>
  <c r="AL23" i="5"/>
  <c r="AH23" i="5"/>
  <c r="AG23" i="5"/>
  <c r="X23" i="5"/>
  <c r="Q23" i="5"/>
  <c r="P23" i="5"/>
  <c r="L23" i="5"/>
  <c r="J23" i="5"/>
  <c r="H23" i="5"/>
  <c r="D23" i="5"/>
  <c r="EX22" i="5"/>
  <c r="EZ22" i="5" s="1"/>
  <c r="EW22" i="5"/>
  <c r="EY22" i="5" s="1"/>
  <c r="ES22" i="5"/>
  <c r="EU22" i="5" s="1"/>
  <c r="ER22" i="5"/>
  <c r="ET22" i="5" s="1"/>
  <c r="EG22" i="5"/>
  <c r="EF22" i="5"/>
  <c r="EE22" i="5"/>
  <c r="ED22" i="5"/>
  <c r="DS22" i="5"/>
  <c r="DR22" i="5"/>
  <c r="DQ22" i="5"/>
  <c r="DP22" i="5"/>
  <c r="DD22" i="5"/>
  <c r="DF22" i="5" s="1"/>
  <c r="DC22" i="5"/>
  <c r="DE22" i="5" s="1"/>
  <c r="CJ22" i="5"/>
  <c r="CI22" i="5"/>
  <c r="CG22" i="5"/>
  <c r="CF22" i="5"/>
  <c r="CB22" i="5"/>
  <c r="CA22" i="5"/>
  <c r="BZ22" i="5"/>
  <c r="BS22" i="5"/>
  <c r="BR22" i="5"/>
  <c r="BQ22" i="5"/>
  <c r="BM22" i="5"/>
  <c r="BJ22" i="5"/>
  <c r="BH22" i="5"/>
  <c r="BG22" i="5"/>
  <c r="BA22" i="5"/>
  <c r="AZ22" i="5"/>
  <c r="AV22" i="5"/>
  <c r="AR22" i="5"/>
  <c r="AQ22" i="5"/>
  <c r="AM22" i="5"/>
  <c r="AL22" i="5"/>
  <c r="AH22" i="5"/>
  <c r="AG22" i="5"/>
  <c r="X22" i="5"/>
  <c r="Q22" i="5"/>
  <c r="P22" i="5"/>
  <c r="L22" i="5"/>
  <c r="J22" i="5"/>
  <c r="H22" i="5"/>
  <c r="D22" i="5"/>
  <c r="EX21" i="5"/>
  <c r="EZ21" i="5" s="1"/>
  <c r="EW21" i="5"/>
  <c r="EY21" i="5" s="1"/>
  <c r="ES21" i="5"/>
  <c r="EU21" i="5" s="1"/>
  <c r="ER21" i="5"/>
  <c r="ET21" i="5" s="1"/>
  <c r="EG21" i="5"/>
  <c r="EF21" i="5"/>
  <c r="EE21" i="5"/>
  <c r="ED21" i="5"/>
  <c r="DS21" i="5"/>
  <c r="DR21" i="5"/>
  <c r="DQ21" i="5"/>
  <c r="DP21" i="5"/>
  <c r="DD21" i="5"/>
  <c r="DF21" i="5" s="1"/>
  <c r="DC21" i="5"/>
  <c r="DE21" i="5" s="1"/>
  <c r="CJ21" i="5"/>
  <c r="CI21" i="5"/>
  <c r="CG21" i="5"/>
  <c r="CF21" i="5"/>
  <c r="CB21" i="5"/>
  <c r="CA21" i="5"/>
  <c r="DG45" i="5" s="1"/>
  <c r="BZ21" i="5"/>
  <c r="BS21" i="5"/>
  <c r="BR21" i="5"/>
  <c r="BQ21" i="5"/>
  <c r="BM21" i="5"/>
  <c r="BJ21" i="5"/>
  <c r="BH21" i="5"/>
  <c r="BG21" i="5"/>
  <c r="BA21" i="5"/>
  <c r="AZ21" i="5"/>
  <c r="AV21" i="5"/>
  <c r="AR21" i="5"/>
  <c r="AQ21" i="5"/>
  <c r="AM21" i="5"/>
  <c r="AL21" i="5"/>
  <c r="AH21" i="5"/>
  <c r="AG21" i="5"/>
  <c r="X21" i="5"/>
  <c r="Q21" i="5"/>
  <c r="P21" i="5"/>
  <c r="L21" i="5"/>
  <c r="J21" i="5"/>
  <c r="H21" i="5"/>
  <c r="D21" i="5"/>
  <c r="EX20" i="5"/>
  <c r="EW20" i="5"/>
  <c r="EY20" i="5" s="1"/>
  <c r="ES20" i="5"/>
  <c r="ER20" i="5"/>
  <c r="ET20" i="5" s="1"/>
  <c r="EG20" i="5"/>
  <c r="EF20" i="5"/>
  <c r="EE20" i="5"/>
  <c r="ED20" i="5"/>
  <c r="DS20" i="5"/>
  <c r="DR20" i="5"/>
  <c r="DQ20" i="5"/>
  <c r="DP20" i="5"/>
  <c r="DD20" i="5"/>
  <c r="DC20" i="5"/>
  <c r="DE20" i="5" s="1"/>
  <c r="CJ20" i="5"/>
  <c r="CI20" i="5"/>
  <c r="CG20" i="5"/>
  <c r="CF20" i="5"/>
  <c r="CB20" i="5"/>
  <c r="CA20" i="5"/>
  <c r="DG44" i="5" s="1"/>
  <c r="BZ20" i="5"/>
  <c r="BS20" i="5"/>
  <c r="BR20" i="5"/>
  <c r="BQ20" i="5"/>
  <c r="BM20" i="5"/>
  <c r="BJ20" i="5"/>
  <c r="BI20" i="5"/>
  <c r="BH20" i="5"/>
  <c r="BG20" i="5"/>
  <c r="BA20" i="5"/>
  <c r="AZ20" i="5"/>
  <c r="AV20" i="5"/>
  <c r="AR20" i="5"/>
  <c r="AQ20" i="5"/>
  <c r="AM20" i="5"/>
  <c r="AL20" i="5"/>
  <c r="AH20" i="5"/>
  <c r="AG20" i="5"/>
  <c r="Y20" i="5"/>
  <c r="X20" i="5"/>
  <c r="Q20" i="5"/>
  <c r="P20" i="5"/>
  <c r="L20" i="5"/>
  <c r="J20" i="5"/>
  <c r="H20" i="5"/>
  <c r="D20" i="5"/>
  <c r="EY19" i="5"/>
  <c r="EX19" i="5"/>
  <c r="EZ19" i="5" s="1"/>
  <c r="EW19" i="5"/>
  <c r="ET19" i="5"/>
  <c r="ES19" i="5"/>
  <c r="EU19" i="5" s="1"/>
  <c r="ER19" i="5"/>
  <c r="EG19" i="5"/>
  <c r="EF19" i="5"/>
  <c r="EE19" i="5"/>
  <c r="ED19" i="5"/>
  <c r="DS19" i="5"/>
  <c r="DR19" i="5"/>
  <c r="DQ19" i="5"/>
  <c r="DP19" i="5"/>
  <c r="DE19" i="5"/>
  <c r="DD19" i="5"/>
  <c r="DF19" i="5" s="1"/>
  <c r="DC19" i="5"/>
  <c r="CJ19" i="5"/>
  <c r="CI19" i="5"/>
  <c r="CG19" i="5"/>
  <c r="CF19" i="5"/>
  <c r="CB19" i="5"/>
  <c r="CA19" i="5"/>
  <c r="DG43" i="5" s="1"/>
  <c r="BZ19" i="5"/>
  <c r="BS19" i="5"/>
  <c r="BR19" i="5"/>
  <c r="BQ19" i="5"/>
  <c r="BM19" i="5"/>
  <c r="BJ19" i="5"/>
  <c r="BH19" i="5"/>
  <c r="BG19" i="5"/>
  <c r="BA19" i="5"/>
  <c r="AZ19" i="5"/>
  <c r="AV19" i="5"/>
  <c r="AR19" i="5"/>
  <c r="AQ19" i="5"/>
  <c r="AM19" i="5"/>
  <c r="AL19" i="5"/>
  <c r="AH19" i="5"/>
  <c r="AG19" i="5"/>
  <c r="Y19" i="5"/>
  <c r="X19" i="5"/>
  <c r="Q19" i="5"/>
  <c r="P19" i="5"/>
  <c r="L19" i="5"/>
  <c r="J19" i="5"/>
  <c r="H19" i="5"/>
  <c r="D19" i="5"/>
  <c r="EY18" i="5"/>
  <c r="EX18" i="5"/>
  <c r="EW18" i="5"/>
  <c r="ET18" i="5"/>
  <c r="ES18" i="5"/>
  <c r="EU18" i="5" s="1"/>
  <c r="ER18" i="5"/>
  <c r="EG18" i="5"/>
  <c r="EF18" i="5"/>
  <c r="EE18" i="5"/>
  <c r="ED18" i="5"/>
  <c r="DS18" i="5"/>
  <c r="DR18" i="5"/>
  <c r="DQ18" i="5"/>
  <c r="DP18" i="5"/>
  <c r="DE18" i="5"/>
  <c r="DD18" i="5"/>
  <c r="DC18" i="5"/>
  <c r="CJ18" i="5"/>
  <c r="CI18" i="5"/>
  <c r="CG18" i="5"/>
  <c r="CF18" i="5"/>
  <c r="CB18" i="5"/>
  <c r="CA18" i="5"/>
  <c r="DG42" i="5" s="1"/>
  <c r="BZ18" i="5"/>
  <c r="BS18" i="5"/>
  <c r="BR18" i="5"/>
  <c r="BQ18" i="5"/>
  <c r="BM18" i="5"/>
  <c r="BJ18" i="5"/>
  <c r="BH18" i="5"/>
  <c r="BG18" i="5"/>
  <c r="BA18" i="5"/>
  <c r="AZ18" i="5"/>
  <c r="AV18" i="5"/>
  <c r="AR18" i="5"/>
  <c r="AQ18" i="5"/>
  <c r="AM18" i="5"/>
  <c r="AL18" i="5"/>
  <c r="AH18" i="5"/>
  <c r="AG18" i="5"/>
  <c r="Y18" i="5"/>
  <c r="X18" i="5"/>
  <c r="R18" i="5"/>
  <c r="Q18" i="5"/>
  <c r="P18" i="5"/>
  <c r="L18" i="5"/>
  <c r="J18" i="5"/>
  <c r="H18" i="5"/>
  <c r="D18" i="5"/>
  <c r="EY17" i="5"/>
  <c r="EX17" i="5"/>
  <c r="EW17" i="5"/>
  <c r="ET17" i="5"/>
  <c r="ES17" i="5"/>
  <c r="ER17" i="5"/>
  <c r="EG17" i="5"/>
  <c r="EF17" i="5"/>
  <c r="EE17" i="5"/>
  <c r="ED17" i="5"/>
  <c r="DS17" i="5"/>
  <c r="DR17" i="5"/>
  <c r="DQ17" i="5"/>
  <c r="DP17" i="5"/>
  <c r="DE17" i="5"/>
  <c r="DD17" i="5"/>
  <c r="DC17" i="5"/>
  <c r="CJ17" i="5"/>
  <c r="CI17" i="5"/>
  <c r="CG17" i="5"/>
  <c r="CF17" i="5"/>
  <c r="CB17" i="5"/>
  <c r="CA17" i="5"/>
  <c r="DG41" i="5" s="1"/>
  <c r="BZ17" i="5"/>
  <c r="BS17" i="5"/>
  <c r="BR17" i="5"/>
  <c r="BQ17" i="5"/>
  <c r="BM17" i="5"/>
  <c r="BJ17" i="5"/>
  <c r="BH17" i="5"/>
  <c r="BG17" i="5"/>
  <c r="BA17" i="5"/>
  <c r="AZ17" i="5"/>
  <c r="AV17" i="5"/>
  <c r="AR17" i="5"/>
  <c r="AQ17" i="5"/>
  <c r="AM17" i="5"/>
  <c r="AL17" i="5"/>
  <c r="AH17" i="5"/>
  <c r="AG17" i="5"/>
  <c r="Y17" i="5"/>
  <c r="X17" i="5"/>
  <c r="R17" i="5"/>
  <c r="Q17" i="5"/>
  <c r="P17" i="5"/>
  <c r="L17" i="5"/>
  <c r="J17" i="5"/>
  <c r="H17" i="5"/>
  <c r="D17" i="5"/>
  <c r="EY16" i="5"/>
  <c r="EX16" i="5"/>
  <c r="EW16" i="5"/>
  <c r="ET16" i="5"/>
  <c r="ES16" i="5"/>
  <c r="ER16" i="5"/>
  <c r="EG16" i="5"/>
  <c r="EF16" i="5"/>
  <c r="EE16" i="5"/>
  <c r="ED16" i="5"/>
  <c r="DS16" i="5"/>
  <c r="DR16" i="5"/>
  <c r="DQ16" i="5"/>
  <c r="DP16" i="5"/>
  <c r="DE16" i="5"/>
  <c r="DD16" i="5"/>
  <c r="DC16" i="5"/>
  <c r="CJ16" i="5"/>
  <c r="CI16" i="5"/>
  <c r="CG16" i="5"/>
  <c r="CF16" i="5"/>
  <c r="CB16" i="5"/>
  <c r="CA16" i="5"/>
  <c r="DG40" i="5" s="1"/>
  <c r="BZ16" i="5"/>
  <c r="BS16" i="5"/>
  <c r="BR16" i="5"/>
  <c r="BQ16" i="5"/>
  <c r="BM16" i="5"/>
  <c r="BJ16" i="5"/>
  <c r="BI16" i="5"/>
  <c r="BH16" i="5"/>
  <c r="BG16" i="5"/>
  <c r="BA16" i="5"/>
  <c r="AZ16" i="5"/>
  <c r="AV16" i="5"/>
  <c r="AR16" i="5"/>
  <c r="AQ16" i="5"/>
  <c r="AM16" i="5"/>
  <c r="AL16" i="5"/>
  <c r="AH16" i="5"/>
  <c r="AG16" i="5"/>
  <c r="Z16" i="5"/>
  <c r="Y16" i="5"/>
  <c r="X16" i="5"/>
  <c r="S16" i="5"/>
  <c r="R16" i="5"/>
  <c r="Q16" i="5"/>
  <c r="P16" i="5"/>
  <c r="L16" i="5"/>
  <c r="J16" i="5"/>
  <c r="H16" i="5"/>
  <c r="D16" i="5"/>
  <c r="EZ15" i="5"/>
  <c r="EX15" i="5"/>
  <c r="EW15" i="5"/>
  <c r="EU15" i="5"/>
  <c r="ES15" i="5"/>
  <c r="ER15" i="5"/>
  <c r="EG15" i="5"/>
  <c r="EF15" i="5"/>
  <c r="EE15" i="5"/>
  <c r="ED15" i="5"/>
  <c r="DS15" i="5"/>
  <c r="DR15" i="5"/>
  <c r="DQ15" i="5"/>
  <c r="DP15" i="5"/>
  <c r="DF15" i="5"/>
  <c r="DD15" i="5"/>
  <c r="DC15" i="5"/>
  <c r="DE15" i="5" s="1"/>
  <c r="CJ15" i="5"/>
  <c r="CI15" i="5"/>
  <c r="CG15" i="5"/>
  <c r="BS15" i="5"/>
  <c r="BR15" i="5"/>
  <c r="BQ15" i="5"/>
  <c r="BM15" i="5"/>
  <c r="BJ15" i="5"/>
  <c r="BA15" i="5"/>
  <c r="AZ15" i="5"/>
  <c r="AV15" i="5"/>
  <c r="AR15" i="5"/>
  <c r="AQ15" i="5"/>
  <c r="AM15" i="5"/>
  <c r="AL15" i="5"/>
  <c r="AH15" i="5"/>
  <c r="AG15" i="5"/>
  <c r="Z15" i="5"/>
  <c r="Y15" i="5"/>
  <c r="AA15" i="5" s="1"/>
  <c r="X15" i="5"/>
  <c r="S15" i="5"/>
  <c r="R15" i="5"/>
  <c r="T15" i="5" s="1"/>
  <c r="Q15" i="5"/>
  <c r="P15" i="5"/>
  <c r="L15" i="5"/>
  <c r="J15" i="5"/>
  <c r="H15" i="5"/>
  <c r="D15" i="5"/>
  <c r="EX14" i="5"/>
  <c r="EZ14" i="5" s="1"/>
  <c r="EW14" i="5"/>
  <c r="ES14" i="5"/>
  <c r="EU14" i="5" s="1"/>
  <c r="ER14" i="5"/>
  <c r="EG14" i="5"/>
  <c r="EF14" i="5"/>
  <c r="EE14" i="5"/>
  <c r="ED14" i="5"/>
  <c r="DS14" i="5"/>
  <c r="DR14" i="5"/>
  <c r="DQ14" i="5"/>
  <c r="DP14" i="5"/>
  <c r="DD14" i="5"/>
  <c r="DC14" i="5"/>
  <c r="CJ14" i="5"/>
  <c r="CI14" i="5"/>
  <c r="CG14" i="5"/>
  <c r="BS14" i="5"/>
  <c r="BR14" i="5"/>
  <c r="BQ14" i="5"/>
  <c r="BM14" i="5"/>
  <c r="BJ14" i="5"/>
  <c r="BA14" i="5"/>
  <c r="AZ14" i="5"/>
  <c r="AV14" i="5"/>
  <c r="AR14" i="5"/>
  <c r="AQ14" i="5"/>
  <c r="AM14" i="5"/>
  <c r="AL14" i="5"/>
  <c r="AH14" i="5"/>
  <c r="AG14" i="5"/>
  <c r="Z14" i="5"/>
  <c r="Y14" i="5"/>
  <c r="X14" i="5"/>
  <c r="S14" i="5"/>
  <c r="R14" i="5"/>
  <c r="Q14" i="5"/>
  <c r="P14" i="5"/>
  <c r="L14" i="5"/>
  <c r="J14" i="5"/>
  <c r="H14" i="5"/>
  <c r="D14" i="5"/>
  <c r="EZ13" i="5"/>
  <c r="EX13" i="5"/>
  <c r="EZ17" i="5" s="1"/>
  <c r="EW13" i="5"/>
  <c r="EY13" i="5" s="1"/>
  <c r="EU13" i="5"/>
  <c r="ES13" i="5"/>
  <c r="EU17" i="5" s="1"/>
  <c r="ER13" i="5"/>
  <c r="ET13" i="5" s="1"/>
  <c r="EG13" i="5"/>
  <c r="EF13" i="5"/>
  <c r="EE13" i="5"/>
  <c r="ED13" i="5"/>
  <c r="DS13" i="5"/>
  <c r="DR13" i="5"/>
  <c r="DQ13" i="5"/>
  <c r="DP13" i="5"/>
  <c r="DF13" i="5"/>
  <c r="DD13" i="5"/>
  <c r="DF17" i="5" s="1"/>
  <c r="DC13" i="5"/>
  <c r="CJ13" i="5"/>
  <c r="CI13" i="5"/>
  <c r="CG13" i="5"/>
  <c r="BS13" i="5"/>
  <c r="BR13" i="5"/>
  <c r="BQ13" i="5"/>
  <c r="BM13" i="5"/>
  <c r="BJ13" i="5"/>
  <c r="BA13" i="5"/>
  <c r="AZ13" i="5"/>
  <c r="AV13" i="5"/>
  <c r="AR13" i="5"/>
  <c r="AQ13" i="5"/>
  <c r="AM13" i="5"/>
  <c r="AL13" i="5"/>
  <c r="AH13" i="5"/>
  <c r="AG13" i="5"/>
  <c r="Y13" i="5"/>
  <c r="AA13" i="5" s="1"/>
  <c r="X13" i="5"/>
  <c r="R13" i="5"/>
  <c r="T13" i="5" s="1"/>
  <c r="Q13" i="5"/>
  <c r="P13" i="5"/>
  <c r="L13" i="5"/>
  <c r="J13" i="5"/>
  <c r="H13" i="5"/>
  <c r="D13" i="5"/>
  <c r="EX12" i="5"/>
  <c r="EW12" i="5"/>
  <c r="ES12" i="5"/>
  <c r="ER12" i="5"/>
  <c r="EG12" i="5"/>
  <c r="EF12" i="5"/>
  <c r="EE12" i="5"/>
  <c r="ED12" i="5"/>
  <c r="DS12" i="5"/>
  <c r="DR12" i="5"/>
  <c r="DQ12" i="5"/>
  <c r="DP12" i="5"/>
  <c r="DD12" i="5"/>
  <c r="DC12" i="5"/>
  <c r="CI12" i="5"/>
  <c r="BS12" i="5"/>
  <c r="BR12" i="5"/>
  <c r="BQ12" i="5"/>
  <c r="BM12" i="5"/>
  <c r="BA12" i="5"/>
  <c r="AZ12" i="5"/>
  <c r="AV12" i="5"/>
  <c r="AR12" i="5"/>
  <c r="AQ12" i="5"/>
  <c r="AM12" i="5"/>
  <c r="AL12" i="5"/>
  <c r="AH12" i="5"/>
  <c r="AG12" i="5"/>
  <c r="AA12" i="5"/>
  <c r="Y12" i="5"/>
  <c r="Z12" i="5" s="1"/>
  <c r="X12" i="5"/>
  <c r="T12" i="5"/>
  <c r="R12" i="5"/>
  <c r="S12" i="5" s="1"/>
  <c r="Q12" i="5"/>
  <c r="P12" i="5"/>
  <c r="L12" i="5"/>
  <c r="J12" i="5"/>
  <c r="H12" i="5"/>
  <c r="D12" i="5"/>
  <c r="EX11" i="5"/>
  <c r="EZ11" i="5" s="1"/>
  <c r="EW11" i="5"/>
  <c r="EY11" i="5" s="1"/>
  <c r="ES11" i="5"/>
  <c r="EU11" i="5" s="1"/>
  <c r="ER11" i="5"/>
  <c r="ET11" i="5" s="1"/>
  <c r="EG11" i="5"/>
  <c r="EF11" i="5"/>
  <c r="EE11" i="5"/>
  <c r="ED11" i="5"/>
  <c r="DS11" i="5"/>
  <c r="DR11" i="5"/>
  <c r="DQ11" i="5"/>
  <c r="DP11" i="5"/>
  <c r="DD11" i="5"/>
  <c r="DF11" i="5" s="1"/>
  <c r="DC11" i="5"/>
  <c r="CI11" i="5"/>
  <c r="BS11" i="5"/>
  <c r="BR11" i="5"/>
  <c r="BQ11" i="5"/>
  <c r="BM11" i="5"/>
  <c r="BA11" i="5"/>
  <c r="AZ11" i="5"/>
  <c r="AV11" i="5"/>
  <c r="AR11" i="5"/>
  <c r="AQ11" i="5"/>
  <c r="AM11" i="5"/>
  <c r="AL11" i="5"/>
  <c r="AH11" i="5"/>
  <c r="AG11" i="5"/>
  <c r="Z11" i="5"/>
  <c r="Y11" i="5"/>
  <c r="X11" i="5"/>
  <c r="S11" i="5"/>
  <c r="R11" i="5"/>
  <c r="Q11" i="5"/>
  <c r="P11" i="5"/>
  <c r="L11" i="5"/>
  <c r="J11" i="5"/>
  <c r="H11" i="5"/>
  <c r="D11" i="5"/>
  <c r="EZ10" i="5"/>
  <c r="EX10" i="5"/>
  <c r="EW10" i="5"/>
  <c r="EY10" i="5" s="1"/>
  <c r="ES10" i="5"/>
  <c r="ER10" i="5"/>
  <c r="ET10" i="5" s="1"/>
  <c r="EG10" i="5"/>
  <c r="EF10" i="5"/>
  <c r="EE10" i="5"/>
  <c r="ED10" i="5"/>
  <c r="DQ10" i="5"/>
  <c r="DP10" i="5"/>
  <c r="DD10" i="5"/>
  <c r="DF10" i="5" s="1"/>
  <c r="DC10" i="5"/>
  <c r="DE14" i="5" s="1"/>
  <c r="CI10" i="5"/>
  <c r="BS10" i="5"/>
  <c r="BR10" i="5"/>
  <c r="BQ10" i="5"/>
  <c r="BM10" i="5"/>
  <c r="BA10" i="5"/>
  <c r="AZ10" i="5"/>
  <c r="AV10" i="5"/>
  <c r="AR10" i="5"/>
  <c r="AQ10" i="5"/>
  <c r="AM10" i="5"/>
  <c r="AL10" i="5"/>
  <c r="AH10" i="5"/>
  <c r="AG10" i="5"/>
  <c r="AA10" i="5"/>
  <c r="Y10" i="5"/>
  <c r="Z10" i="5" s="1"/>
  <c r="X10" i="5"/>
  <c r="R10" i="5"/>
  <c r="S10" i="5" s="1"/>
  <c r="Q10" i="5"/>
  <c r="P10" i="5"/>
  <c r="L10" i="5"/>
  <c r="J10" i="5"/>
  <c r="H10" i="5"/>
  <c r="D10" i="5"/>
  <c r="EX9" i="5"/>
  <c r="EW9" i="5"/>
  <c r="ES9" i="5"/>
  <c r="ER9" i="5"/>
  <c r="EG9" i="5"/>
  <c r="EF9" i="5"/>
  <c r="EE9" i="5"/>
  <c r="ED9" i="5"/>
  <c r="DQ9" i="5"/>
  <c r="DP9" i="5"/>
  <c r="DD9" i="5"/>
  <c r="DF9" i="5" s="1"/>
  <c r="DC9" i="5"/>
  <c r="DE9" i="5" s="1"/>
  <c r="CI9" i="5"/>
  <c r="BS9" i="5"/>
  <c r="BR9" i="5"/>
  <c r="BQ9" i="5"/>
  <c r="BM9" i="5"/>
  <c r="AZ9" i="5"/>
  <c r="AV9" i="5"/>
  <c r="AR9" i="5"/>
  <c r="AQ9" i="5"/>
  <c r="AM9" i="5"/>
  <c r="AL9" i="5"/>
  <c r="AH9" i="5"/>
  <c r="AG9" i="5"/>
  <c r="Y9" i="5"/>
  <c r="X9" i="5"/>
  <c r="R9" i="5"/>
  <c r="Q9" i="5"/>
  <c r="P9" i="5"/>
  <c r="L9" i="5"/>
  <c r="J9" i="5"/>
  <c r="H9" i="5"/>
  <c r="D9" i="5"/>
  <c r="EX8" i="5"/>
  <c r="EW8" i="5"/>
  <c r="EY12" i="5" s="1"/>
  <c r="ES8" i="5"/>
  <c r="EU8" i="5" s="1"/>
  <c r="ER8" i="5"/>
  <c r="EG8" i="5"/>
  <c r="EF8" i="5"/>
  <c r="EE8" i="5"/>
  <c r="ED8" i="5"/>
  <c r="DQ8" i="5"/>
  <c r="DP8" i="5"/>
  <c r="DE8" i="5"/>
  <c r="DD8" i="5"/>
  <c r="DC8" i="5"/>
  <c r="DE12" i="5" s="1"/>
  <c r="CI8" i="5"/>
  <c r="BS8" i="5"/>
  <c r="BR8" i="5"/>
  <c r="BQ8" i="5"/>
  <c r="BM8" i="5"/>
  <c r="AZ8" i="5"/>
  <c r="AV8" i="5"/>
  <c r="AR8" i="5"/>
  <c r="AQ8" i="5"/>
  <c r="AM8" i="5"/>
  <c r="AL8" i="5"/>
  <c r="AH8" i="5"/>
  <c r="AG8" i="5"/>
  <c r="AA8" i="5"/>
  <c r="Y8" i="5"/>
  <c r="Z8" i="5" s="1"/>
  <c r="X8" i="5"/>
  <c r="T8" i="5"/>
  <c r="R8" i="5"/>
  <c r="S8" i="5" s="1"/>
  <c r="Q8" i="5"/>
  <c r="P8" i="5"/>
  <c r="L8" i="5"/>
  <c r="J8" i="5"/>
  <c r="H8" i="5"/>
  <c r="D8" i="5"/>
  <c r="EX7" i="5"/>
  <c r="EW7" i="5"/>
  <c r="EU7" i="5"/>
  <c r="ET7" i="5"/>
  <c r="ES7" i="5"/>
  <c r="ER7" i="5"/>
  <c r="EG7" i="5"/>
  <c r="EF7" i="5"/>
  <c r="EE7" i="5"/>
  <c r="ED7" i="5"/>
  <c r="DD7" i="5"/>
  <c r="DC7" i="5"/>
  <c r="CI7" i="5"/>
  <c r="BS7" i="5"/>
  <c r="BR7" i="5"/>
  <c r="BQ7" i="5"/>
  <c r="AZ7" i="5"/>
  <c r="AV7" i="5"/>
  <c r="AR7" i="5"/>
  <c r="AQ7" i="5"/>
  <c r="AM7" i="5"/>
  <c r="AL7" i="5"/>
  <c r="AH7" i="5"/>
  <c r="AG7" i="5"/>
  <c r="Y7" i="5"/>
  <c r="AA7" i="5" s="1"/>
  <c r="X7" i="5"/>
  <c r="R7" i="5"/>
  <c r="T7" i="5" s="1"/>
  <c r="Q7" i="5"/>
  <c r="P7" i="5"/>
  <c r="L7" i="5"/>
  <c r="J7" i="5"/>
  <c r="H7" i="5"/>
  <c r="D7" i="5"/>
  <c r="EX6" i="5"/>
  <c r="EW6" i="5"/>
  <c r="ES6" i="5"/>
  <c r="EU10" i="5" s="1"/>
  <c r="ER6" i="5"/>
  <c r="EG6" i="5"/>
  <c r="EF6" i="5"/>
  <c r="EE6" i="5"/>
  <c r="ED6" i="5"/>
  <c r="DD6" i="5"/>
  <c r="DC6" i="5"/>
  <c r="DE10" i="5" s="1"/>
  <c r="BS6" i="5"/>
  <c r="BR6" i="5"/>
  <c r="BQ6" i="5"/>
  <c r="AR6" i="5"/>
  <c r="AM6" i="5"/>
  <c r="AH6" i="5"/>
  <c r="Y6" i="5"/>
  <c r="T6" i="5"/>
  <c r="R6" i="5"/>
  <c r="Q6" i="5"/>
  <c r="ES5" i="5"/>
  <c r="EU9" i="5" s="1"/>
  <c r="ER5" i="5"/>
  <c r="ET9" i="5" s="1"/>
  <c r="EG5" i="5"/>
  <c r="EF5" i="5"/>
  <c r="EE5" i="5"/>
  <c r="ED5" i="5"/>
  <c r="DD5" i="5"/>
  <c r="DC5" i="5"/>
  <c r="BS5" i="5"/>
  <c r="BR5" i="5"/>
  <c r="BQ5" i="5"/>
  <c r="AR5" i="5"/>
  <c r="AM5" i="5"/>
  <c r="AH5" i="5"/>
  <c r="AJ63" i="5" s="1"/>
  <c r="Y5" i="5"/>
  <c r="AA5" i="5" s="1"/>
  <c r="R5" i="5"/>
  <c r="T5" i="5" s="1"/>
  <c r="Q5" i="5"/>
  <c r="ES4" i="5"/>
  <c r="ER4" i="5"/>
  <c r="EG4" i="5"/>
  <c r="EF4" i="5"/>
  <c r="EE4" i="5"/>
  <c r="ED4" i="5"/>
  <c r="DD4" i="5"/>
  <c r="DF8" i="5" s="1"/>
  <c r="DC4" i="5"/>
  <c r="BS4" i="5"/>
  <c r="BR4" i="5"/>
  <c r="BQ4" i="5"/>
  <c r="AR4" i="5"/>
  <c r="AM4" i="5"/>
  <c r="AH4" i="5"/>
  <c r="AA4" i="5"/>
  <c r="Y4" i="5"/>
  <c r="R4" i="5"/>
  <c r="Q4" i="5"/>
  <c r="ES3" i="5"/>
  <c r="ER3" i="5"/>
  <c r="BS3" i="5"/>
  <c r="BR3" i="5"/>
  <c r="BQ3" i="5"/>
  <c r="Y3" i="5"/>
  <c r="Z7" i="5" s="1"/>
  <c r="R3" i="5"/>
  <c r="S7" i="5" s="1"/>
  <c r="O74" i="4"/>
  <c r="N74" i="4"/>
  <c r="M74" i="4"/>
  <c r="L74" i="4"/>
  <c r="K74" i="4"/>
  <c r="J74" i="4"/>
  <c r="I74" i="4"/>
  <c r="H74" i="4"/>
  <c r="G74" i="4"/>
  <c r="F74" i="4"/>
  <c r="E74" i="4"/>
  <c r="D74" i="4"/>
  <c r="CM61" i="4"/>
  <c r="CL61" i="4"/>
  <c r="CK61" i="4"/>
  <c r="CJ61" i="4"/>
  <c r="CI61" i="4"/>
  <c r="CH61" i="4"/>
  <c r="CG61" i="4"/>
  <c r="CF61" i="4"/>
  <c r="CE61" i="4"/>
  <c r="CD61" i="4"/>
  <c r="CO60" i="4"/>
  <c r="CN60" i="4"/>
  <c r="CO59" i="4"/>
  <c r="CN59" i="4"/>
  <c r="CO58" i="4"/>
  <c r="CN58" i="4"/>
  <c r="CO57" i="4"/>
  <c r="CN57" i="4"/>
  <c r="P57" i="4"/>
  <c r="CO56" i="4"/>
  <c r="CN56" i="4"/>
  <c r="S56" i="4"/>
  <c r="T56" i="4" s="1"/>
  <c r="R56" i="4"/>
  <c r="CO55" i="4"/>
  <c r="CN55" i="4"/>
  <c r="T55" i="4"/>
  <c r="S55" i="4"/>
  <c r="R55" i="4"/>
  <c r="CO54" i="4"/>
  <c r="CN54" i="4"/>
  <c r="S54" i="4"/>
  <c r="T54" i="4" s="1"/>
  <c r="R54" i="4"/>
  <c r="CO53" i="4"/>
  <c r="CN53" i="4"/>
  <c r="AW53" i="4"/>
  <c r="S53" i="4"/>
  <c r="T53" i="4" s="1"/>
  <c r="R53" i="4"/>
  <c r="CO52" i="4"/>
  <c r="CN52" i="4"/>
  <c r="AW52" i="4"/>
  <c r="S52" i="4"/>
  <c r="T52" i="4" s="1"/>
  <c r="R52" i="4"/>
  <c r="CO51" i="4"/>
  <c r="CN51" i="4"/>
  <c r="AW51" i="4"/>
  <c r="S51" i="4"/>
  <c r="T51" i="4" s="1"/>
  <c r="R51" i="4"/>
  <c r="CO50" i="4"/>
  <c r="CN50" i="4"/>
  <c r="AW50" i="4"/>
  <c r="S50" i="4"/>
  <c r="T50" i="4" s="1"/>
  <c r="R50" i="4"/>
  <c r="CO49" i="4"/>
  <c r="CN49" i="4"/>
  <c r="AW49" i="4"/>
  <c r="S49" i="4"/>
  <c r="T49" i="4" s="1"/>
  <c r="R49" i="4"/>
  <c r="CO48" i="4"/>
  <c r="CN48" i="4"/>
  <c r="AW48" i="4"/>
  <c r="S48" i="4"/>
  <c r="T48" i="4" s="1"/>
  <c r="R48" i="4"/>
  <c r="CO47" i="4"/>
  <c r="CN47" i="4"/>
  <c r="AW47" i="4"/>
  <c r="S47" i="4"/>
  <c r="T47" i="4" s="1"/>
  <c r="R47" i="4"/>
  <c r="CO46" i="4"/>
  <c r="CN46" i="4"/>
  <c r="AW46" i="4"/>
  <c r="S46" i="4"/>
  <c r="T46" i="4" s="1"/>
  <c r="R46" i="4"/>
  <c r="CO45" i="4"/>
  <c r="CN45" i="4"/>
  <c r="AW45" i="4"/>
  <c r="CO44" i="4"/>
  <c r="CO61" i="4" s="1"/>
  <c r="CN44" i="4"/>
  <c r="AW44" i="4"/>
  <c r="CO43" i="4"/>
  <c r="CN43" i="4"/>
  <c r="AW43" i="4"/>
  <c r="BD13" i="4" s="1"/>
  <c r="AW42" i="4"/>
  <c r="AW41" i="4"/>
  <c r="AL41" i="4"/>
  <c r="AW40" i="4"/>
  <c r="AL40" i="4"/>
  <c r="Z40" i="4"/>
  <c r="AW39" i="4"/>
  <c r="AL39" i="4"/>
  <c r="AW38" i="4"/>
  <c r="AW37" i="4"/>
  <c r="CF36" i="4"/>
  <c r="CE36" i="4"/>
  <c r="AW36" i="4"/>
  <c r="CE35" i="4"/>
  <c r="CF35" i="4" s="1"/>
  <c r="AW35" i="4"/>
  <c r="CE34" i="4"/>
  <c r="AW34" i="4"/>
  <c r="CN33" i="4"/>
  <c r="CM33" i="4"/>
  <c r="CE33" i="4"/>
  <c r="CF33" i="4" s="1"/>
  <c r="AW33" i="4"/>
  <c r="CN32" i="4"/>
  <c r="CM32" i="4"/>
  <c r="CF32" i="4"/>
  <c r="CE32" i="4"/>
  <c r="AW32" i="4"/>
  <c r="CN31" i="4"/>
  <c r="CM31" i="4"/>
  <c r="CE31" i="4"/>
  <c r="CF31" i="4" s="1"/>
  <c r="AW31" i="4"/>
  <c r="CN30" i="4"/>
  <c r="CM30" i="4"/>
  <c r="CF30" i="4"/>
  <c r="CE30" i="4"/>
  <c r="AW30" i="4"/>
  <c r="AR30" i="4"/>
  <c r="AN30" i="4"/>
  <c r="AF30" i="4"/>
  <c r="AB30" i="4"/>
  <c r="CN29" i="4"/>
  <c r="CM29" i="4"/>
  <c r="CE29" i="4"/>
  <c r="CF29" i="4" s="1"/>
  <c r="AW29" i="4"/>
  <c r="AR29" i="4"/>
  <c r="AQ29" i="4"/>
  <c r="AP29" i="4"/>
  <c r="AO29" i="4"/>
  <c r="AN29" i="4"/>
  <c r="AM29" i="4"/>
  <c r="AL29" i="4"/>
  <c r="AK29" i="4"/>
  <c r="AJ29" i="4"/>
  <c r="AJ30" i="4" s="1"/>
  <c r="AI29" i="4"/>
  <c r="AH29" i="4"/>
  <c r="AG29" i="4"/>
  <c r="AF29" i="4"/>
  <c r="AE29" i="4"/>
  <c r="AD29" i="4"/>
  <c r="AC29" i="4"/>
  <c r="AB29" i="4"/>
  <c r="AA29" i="4"/>
  <c r="Z29" i="4"/>
  <c r="CN28" i="4"/>
  <c r="CM28" i="4"/>
  <c r="CI28" i="4"/>
  <c r="CE28" i="4"/>
  <c r="CF28" i="4" s="1"/>
  <c r="AW28" i="4"/>
  <c r="CN27" i="4"/>
  <c r="CM27" i="4"/>
  <c r="CE27" i="4"/>
  <c r="CF27" i="4" s="1"/>
  <c r="AW27" i="4"/>
  <c r="AR27" i="4"/>
  <c r="AQ27" i="4"/>
  <c r="AQ30" i="4" s="1"/>
  <c r="AP27" i="4"/>
  <c r="AP30" i="4" s="1"/>
  <c r="AO27" i="4"/>
  <c r="AO30" i="4" s="1"/>
  <c r="AN27" i="4"/>
  <c r="AM27" i="4"/>
  <c r="AL27" i="4"/>
  <c r="AL30" i="4" s="1"/>
  <c r="AK27" i="4"/>
  <c r="AK30" i="4" s="1"/>
  <c r="AJ27" i="4"/>
  <c r="AI27" i="4"/>
  <c r="AH27" i="4"/>
  <c r="AH30" i="4" s="1"/>
  <c r="AG27" i="4"/>
  <c r="AG30" i="4" s="1"/>
  <c r="AF27" i="4"/>
  <c r="AE27" i="4"/>
  <c r="AD27" i="4"/>
  <c r="AC27" i="4"/>
  <c r="AC30" i="4" s="1"/>
  <c r="AB27" i="4"/>
  <c r="AA27" i="4"/>
  <c r="Z27" i="4"/>
  <c r="CN26" i="4"/>
  <c r="CM26" i="4"/>
  <c r="CI26" i="4"/>
  <c r="CE26" i="4"/>
  <c r="AW26" i="4"/>
  <c r="AR26" i="4"/>
  <c r="AQ26" i="4"/>
  <c r="AP26" i="4"/>
  <c r="AO26" i="4"/>
  <c r="AN26" i="4"/>
  <c r="AM26" i="4"/>
  <c r="AL26" i="4"/>
  <c r="AK26" i="4"/>
  <c r="AJ26" i="4"/>
  <c r="AI26" i="4"/>
  <c r="AH26" i="4"/>
  <c r="AG26" i="4"/>
  <c r="AF26" i="4"/>
  <c r="AE26" i="4"/>
  <c r="AD26" i="4"/>
  <c r="AC26" i="4"/>
  <c r="AB26" i="4"/>
  <c r="AA26" i="4"/>
  <c r="Z26" i="4"/>
  <c r="CN25" i="4"/>
  <c r="CM25" i="4"/>
  <c r="CF25" i="4"/>
  <c r="CI30" i="4" s="1"/>
  <c r="CE25" i="4"/>
  <c r="CF26" i="4" s="1"/>
  <c r="CI31" i="4" s="1"/>
  <c r="AW25" i="4"/>
  <c r="AR25" i="4"/>
  <c r="AQ25" i="4"/>
  <c r="AP25" i="4"/>
  <c r="AO25" i="4"/>
  <c r="AN25" i="4"/>
  <c r="AM25" i="4"/>
  <c r="AL25" i="4"/>
  <c r="AK25" i="4"/>
  <c r="AJ25" i="4"/>
  <c r="AI25" i="4"/>
  <c r="AH25" i="4"/>
  <c r="AG25" i="4"/>
  <c r="AF25" i="4"/>
  <c r="AE25" i="4"/>
  <c r="AD25" i="4"/>
  <c r="AC25" i="4"/>
  <c r="AB25" i="4"/>
  <c r="AA25" i="4"/>
  <c r="Z25" i="4"/>
  <c r="CN24" i="4"/>
  <c r="CM24" i="4"/>
  <c r="CF24" i="4"/>
  <c r="CI29" i="4" s="1"/>
  <c r="CE24" i="4"/>
  <c r="AW24" i="4"/>
  <c r="AR24" i="4"/>
  <c r="AQ24" i="4"/>
  <c r="AP24" i="4"/>
  <c r="AO24" i="4"/>
  <c r="AN24" i="4"/>
  <c r="AM24" i="4"/>
  <c r="AL24" i="4"/>
  <c r="AK24" i="4"/>
  <c r="AJ24" i="4"/>
  <c r="AI24" i="4"/>
  <c r="AH24" i="4"/>
  <c r="AG24" i="4"/>
  <c r="AF24" i="4"/>
  <c r="AE24" i="4"/>
  <c r="AD24" i="4"/>
  <c r="AC24" i="4"/>
  <c r="AB24" i="4"/>
  <c r="AA24" i="4"/>
  <c r="Z24" i="4"/>
  <c r="CN23" i="4"/>
  <c r="CM23" i="4"/>
  <c r="CE23" i="4"/>
  <c r="CF23" i="4" s="1"/>
  <c r="AW23" i="4"/>
  <c r="AR23" i="4"/>
  <c r="AQ23" i="4"/>
  <c r="AP23" i="4"/>
  <c r="AO23" i="4"/>
  <c r="AN23" i="4"/>
  <c r="AM23" i="4"/>
  <c r="AL23" i="4"/>
  <c r="AK23" i="4"/>
  <c r="AJ23" i="4"/>
  <c r="AI23" i="4"/>
  <c r="AH23" i="4"/>
  <c r="AG23" i="4"/>
  <c r="AF23" i="4"/>
  <c r="AE23" i="4"/>
  <c r="AD23" i="4"/>
  <c r="AC23" i="4"/>
  <c r="AB23" i="4"/>
  <c r="AA23" i="4"/>
  <c r="Z23" i="4"/>
  <c r="CN22" i="4"/>
  <c r="CM22" i="4"/>
  <c r="CI22" i="4"/>
  <c r="CF22" i="4"/>
  <c r="CI27" i="4" s="1"/>
  <c r="CE22" i="4"/>
  <c r="AW22" i="4"/>
  <c r="AR22" i="4"/>
  <c r="AQ22" i="4"/>
  <c r="AP22" i="4"/>
  <c r="AO22" i="4"/>
  <c r="AN22" i="4"/>
  <c r="AM22" i="4"/>
  <c r="AL22" i="4"/>
  <c r="AK22" i="4"/>
  <c r="AJ22" i="4"/>
  <c r="AI22" i="4"/>
  <c r="AH22" i="4"/>
  <c r="AG22" i="4"/>
  <c r="AF22" i="4"/>
  <c r="AE22" i="4"/>
  <c r="AD22" i="4"/>
  <c r="AC22" i="4"/>
  <c r="AB22" i="4"/>
  <c r="AA22" i="4"/>
  <c r="Z22" i="4"/>
  <c r="CN21" i="4"/>
  <c r="CM21" i="4"/>
  <c r="CI21" i="4"/>
  <c r="CF21" i="4"/>
  <c r="CE21" i="4"/>
  <c r="AW21" i="4"/>
  <c r="AR21" i="4"/>
  <c r="AQ21" i="4"/>
  <c r="AP21" i="4"/>
  <c r="AO21" i="4"/>
  <c r="AN21" i="4"/>
  <c r="AM21" i="4"/>
  <c r="AL21" i="4"/>
  <c r="AK21" i="4"/>
  <c r="AJ21" i="4"/>
  <c r="AI21" i="4"/>
  <c r="AH21" i="4"/>
  <c r="AG21" i="4"/>
  <c r="AF21" i="4"/>
  <c r="AE21" i="4"/>
  <c r="AD21" i="4"/>
  <c r="AC21" i="4"/>
  <c r="AB21" i="4"/>
  <c r="AA21" i="4"/>
  <c r="Z21" i="4"/>
  <c r="CN20" i="4"/>
  <c r="CM20" i="4"/>
  <c r="CF20" i="4"/>
  <c r="CI25" i="4" s="1"/>
  <c r="CE20" i="4"/>
  <c r="AW20" i="4"/>
  <c r="AR20" i="4"/>
  <c r="AQ20" i="4"/>
  <c r="AP20" i="4"/>
  <c r="AO20" i="4"/>
  <c r="AN20" i="4"/>
  <c r="AM20" i="4"/>
  <c r="AL20" i="4"/>
  <c r="AK20" i="4"/>
  <c r="AJ20" i="4"/>
  <c r="AI20" i="4"/>
  <c r="AH20" i="4"/>
  <c r="AG20" i="4"/>
  <c r="AF20" i="4"/>
  <c r="AE20" i="4"/>
  <c r="AD20" i="4"/>
  <c r="AC20" i="4"/>
  <c r="AB20" i="4"/>
  <c r="AA20" i="4"/>
  <c r="Z20" i="4"/>
  <c r="CN19" i="4"/>
  <c r="CM19" i="4"/>
  <c r="CE19" i="4"/>
  <c r="BA19" i="4"/>
  <c r="BD27" i="4" s="1"/>
  <c r="AW19" i="4"/>
  <c r="AR19" i="4"/>
  <c r="AQ19" i="4"/>
  <c r="AP19" i="4"/>
  <c r="AO19" i="4"/>
  <c r="AN19" i="4"/>
  <c r="AM19" i="4"/>
  <c r="AL19" i="4"/>
  <c r="AK19" i="4"/>
  <c r="AJ19" i="4"/>
  <c r="AI19" i="4"/>
  <c r="AH19" i="4"/>
  <c r="AG19" i="4"/>
  <c r="AF19" i="4"/>
  <c r="AE19" i="4"/>
  <c r="AD19" i="4"/>
  <c r="AC19" i="4"/>
  <c r="AB19" i="4"/>
  <c r="AA19" i="4"/>
  <c r="Z19" i="4"/>
  <c r="R19" i="4"/>
  <c r="CI18" i="4"/>
  <c r="CE18" i="4"/>
  <c r="CF18" i="4" s="1"/>
  <c r="CI23" i="4" s="1"/>
  <c r="CB18" i="4"/>
  <c r="AW18" i="4"/>
  <c r="AR18" i="4"/>
  <c r="AQ18" i="4"/>
  <c r="AP18" i="4"/>
  <c r="AO18" i="4"/>
  <c r="AN18" i="4"/>
  <c r="AM18" i="4"/>
  <c r="AL18" i="4"/>
  <c r="AK18" i="4"/>
  <c r="AJ18" i="4"/>
  <c r="AI18" i="4"/>
  <c r="AH18" i="4"/>
  <c r="AG18" i="4"/>
  <c r="AF18" i="4"/>
  <c r="AE18" i="4"/>
  <c r="AD18" i="4"/>
  <c r="AC18" i="4"/>
  <c r="AB18" i="4"/>
  <c r="AA18" i="4"/>
  <c r="Z18" i="4"/>
  <c r="S18" i="4"/>
  <c r="R18" i="4"/>
  <c r="CF17" i="4"/>
  <c r="CE17" i="4"/>
  <c r="CB17" i="4"/>
  <c r="AW17" i="4"/>
  <c r="AR17" i="4"/>
  <c r="AQ17" i="4"/>
  <c r="AP17" i="4"/>
  <c r="AO17" i="4"/>
  <c r="AN17" i="4"/>
  <c r="AM17" i="4"/>
  <c r="AL17" i="4"/>
  <c r="AK17" i="4"/>
  <c r="AJ17" i="4"/>
  <c r="AI17" i="4"/>
  <c r="AH17" i="4"/>
  <c r="AG17" i="4"/>
  <c r="AF17" i="4"/>
  <c r="AE17" i="4"/>
  <c r="AD17" i="4"/>
  <c r="AC17" i="4"/>
  <c r="AB17" i="4"/>
  <c r="AA17" i="4"/>
  <c r="Z17" i="4"/>
  <c r="S17" i="4"/>
  <c r="R17" i="4"/>
  <c r="T17" i="4" s="1"/>
  <c r="CI16" i="4"/>
  <c r="CF16" i="4"/>
  <c r="CE16" i="4"/>
  <c r="CB16" i="4"/>
  <c r="AW16" i="4"/>
  <c r="AR16" i="4"/>
  <c r="AQ16" i="4"/>
  <c r="AP16" i="4"/>
  <c r="AO16" i="4"/>
  <c r="AN16" i="4"/>
  <c r="AM16" i="4"/>
  <c r="AL16" i="4"/>
  <c r="AK16" i="4"/>
  <c r="AJ16" i="4"/>
  <c r="AI16" i="4"/>
  <c r="AH16" i="4"/>
  <c r="AG16" i="4"/>
  <c r="AF16" i="4"/>
  <c r="AE16" i="4"/>
  <c r="AD16" i="4"/>
  <c r="AC16" i="4"/>
  <c r="AB16" i="4"/>
  <c r="AA16" i="4"/>
  <c r="Z16" i="4"/>
  <c r="W16" i="4"/>
  <c r="S16" i="4"/>
  <c r="T16" i="4" s="1"/>
  <c r="R16" i="4"/>
  <c r="CI15" i="4"/>
  <c r="CE15" i="4"/>
  <c r="CB15" i="4"/>
  <c r="CI13" i="4" s="1"/>
  <c r="AW15" i="4"/>
  <c r="AR15" i="4"/>
  <c r="AQ15" i="4"/>
  <c r="AP15" i="4"/>
  <c r="AO15" i="4"/>
  <c r="AN15" i="4"/>
  <c r="AM15" i="4"/>
  <c r="AL15" i="4"/>
  <c r="AK15" i="4"/>
  <c r="AJ15" i="4"/>
  <c r="AI15" i="4"/>
  <c r="AH15" i="4"/>
  <c r="AG15" i="4"/>
  <c r="AF15" i="4"/>
  <c r="AE15" i="4"/>
  <c r="AD15" i="4"/>
  <c r="AC15" i="4"/>
  <c r="AB15" i="4"/>
  <c r="AA15" i="4"/>
  <c r="Z15" i="4"/>
  <c r="W15" i="4"/>
  <c r="T15" i="4"/>
  <c r="S15" i="4"/>
  <c r="R15" i="4"/>
  <c r="CI14" i="4"/>
  <c r="CE14" i="4"/>
  <c r="CB14" i="4"/>
  <c r="BD14" i="4"/>
  <c r="AW14" i="4"/>
  <c r="AR14" i="4"/>
  <c r="AQ14" i="4"/>
  <c r="AP14" i="4"/>
  <c r="AO14" i="4"/>
  <c r="AN14" i="4"/>
  <c r="AM14" i="4"/>
  <c r="AL14" i="4"/>
  <c r="AK14" i="4"/>
  <c r="AJ14" i="4"/>
  <c r="AI14" i="4"/>
  <c r="AH14" i="4"/>
  <c r="AG14" i="4"/>
  <c r="AF14" i="4"/>
  <c r="AE14" i="4"/>
  <c r="AD14" i="4"/>
  <c r="AC14" i="4"/>
  <c r="AB14" i="4"/>
  <c r="AA14" i="4"/>
  <c r="Z14" i="4"/>
  <c r="W14" i="4"/>
  <c r="S14" i="4"/>
  <c r="T14" i="4" s="1"/>
  <c r="R14" i="4"/>
  <c r="CF13" i="4"/>
  <c r="AL4" i="6" s="1"/>
  <c r="O41" i="6" s="1"/>
  <c r="CE13" i="4"/>
  <c r="CB13" i="4"/>
  <c r="AW13" i="4"/>
  <c r="AR13" i="4"/>
  <c r="AQ13" i="4"/>
  <c r="AP13" i="4"/>
  <c r="AO13" i="4"/>
  <c r="AN13" i="4"/>
  <c r="AM13" i="4"/>
  <c r="AL13" i="4"/>
  <c r="AK13" i="4"/>
  <c r="AJ13" i="4"/>
  <c r="AI13" i="4"/>
  <c r="AH13" i="4"/>
  <c r="AG13" i="4"/>
  <c r="AF13" i="4"/>
  <c r="AE13" i="4"/>
  <c r="AD13" i="4"/>
  <c r="AC13" i="4"/>
  <c r="AB13" i="4"/>
  <c r="AA13" i="4"/>
  <c r="Z13" i="4"/>
  <c r="W13" i="4"/>
  <c r="S13" i="4"/>
  <c r="R13" i="4"/>
  <c r="T13" i="4" s="1"/>
  <c r="CI12" i="4"/>
  <c r="CE12" i="4"/>
  <c r="CF12" i="4" s="1"/>
  <c r="CI17" i="4" s="1"/>
  <c r="CB12" i="4"/>
  <c r="BD12" i="4"/>
  <c r="AR12" i="4"/>
  <c r="AQ12" i="4"/>
  <c r="AP12" i="4"/>
  <c r="AO12" i="4"/>
  <c r="AN12" i="4"/>
  <c r="AM12" i="4"/>
  <c r="AL12" i="4"/>
  <c r="AK12" i="4"/>
  <c r="AJ12" i="4"/>
  <c r="AI12" i="4"/>
  <c r="AH12" i="4"/>
  <c r="AG12" i="4"/>
  <c r="AF12" i="4"/>
  <c r="AE12" i="4"/>
  <c r="AD12" i="4"/>
  <c r="AC12" i="4"/>
  <c r="AB12" i="4"/>
  <c r="AA12" i="4"/>
  <c r="Z12" i="4"/>
  <c r="W12" i="4"/>
  <c r="S12" i="4"/>
  <c r="R12" i="4"/>
  <c r="T12" i="4" s="1"/>
  <c r="CI11" i="4"/>
  <c r="CE11" i="4"/>
  <c r="CF11" i="4" s="1"/>
  <c r="CB11" i="4"/>
  <c r="BD11" i="4"/>
  <c r="AR11" i="4"/>
  <c r="AQ11" i="4"/>
  <c r="AP11" i="4"/>
  <c r="AO11" i="4"/>
  <c r="AN11" i="4"/>
  <c r="AM11" i="4"/>
  <c r="AL11" i="4"/>
  <c r="AK11" i="4"/>
  <c r="AJ11" i="4"/>
  <c r="AI11" i="4"/>
  <c r="AH11" i="4"/>
  <c r="AG11" i="4"/>
  <c r="AF11" i="4"/>
  <c r="AE11" i="4"/>
  <c r="AD11" i="4"/>
  <c r="AC11" i="4"/>
  <c r="AB11" i="4"/>
  <c r="AA11" i="4"/>
  <c r="Z11" i="4"/>
  <c r="W11" i="4"/>
  <c r="S11" i="4"/>
  <c r="R11" i="4"/>
  <c r="T11" i="4" s="1"/>
  <c r="CI10" i="4"/>
  <c r="CE10" i="4"/>
  <c r="CF10" i="4" s="1"/>
  <c r="CB10" i="4"/>
  <c r="BD10" i="4"/>
  <c r="AR10" i="4"/>
  <c r="AQ10" i="4"/>
  <c r="AP10" i="4"/>
  <c r="AO10" i="4"/>
  <c r="AN10" i="4"/>
  <c r="AM10" i="4"/>
  <c r="AL10" i="4"/>
  <c r="AK10" i="4"/>
  <c r="AJ10" i="4"/>
  <c r="AI10" i="4"/>
  <c r="AH10" i="4"/>
  <c r="AG10" i="4"/>
  <c r="AF10" i="4"/>
  <c r="AE10" i="4"/>
  <c r="AD10" i="4"/>
  <c r="AC10" i="4"/>
  <c r="AB10" i="4"/>
  <c r="AA10" i="4"/>
  <c r="Z10" i="4"/>
  <c r="W10" i="4"/>
  <c r="S10" i="4"/>
  <c r="R10" i="4"/>
  <c r="T10" i="4" s="1"/>
  <c r="EF27" i="4"/>
  <c r="EF25" i="4"/>
  <c r="EF23" i="4"/>
  <c r="EF21" i="4"/>
  <c r="EF19" i="4"/>
  <c r="EF17" i="4"/>
  <c r="EF15" i="4"/>
  <c r="EF13" i="4"/>
  <c r="EF11" i="4"/>
  <c r="EF9" i="4"/>
  <c r="EF9" i="4" a="1"/>
  <c r="EF28" i="4" s="1"/>
  <c r="EG28" i="4" s="1"/>
  <c r="CI9" i="4"/>
  <c r="CE9" i="4"/>
  <c r="CF9" i="4" s="1"/>
  <c r="CB9" i="4"/>
  <c r="BD9" i="4"/>
  <c r="AR9" i="4"/>
  <c r="AQ9" i="4"/>
  <c r="AP9" i="4"/>
  <c r="AO9" i="4"/>
  <c r="AN9" i="4"/>
  <c r="AM9" i="4"/>
  <c r="AL9" i="4"/>
  <c r="AK9" i="4"/>
  <c r="AJ9" i="4"/>
  <c r="AI9" i="4"/>
  <c r="AH9" i="4"/>
  <c r="AG9" i="4"/>
  <c r="AF9" i="4"/>
  <c r="AE9" i="4"/>
  <c r="AD9" i="4"/>
  <c r="AC9" i="4"/>
  <c r="AB9" i="4"/>
  <c r="AA9" i="4"/>
  <c r="Z9" i="4"/>
  <c r="W9" i="4"/>
  <c r="S9" i="4"/>
  <c r="R9" i="4"/>
  <c r="T9" i="4" s="1"/>
  <c r="DY8" i="4"/>
  <c r="CI8" i="4"/>
  <c r="CE8" i="4"/>
  <c r="CB8" i="4"/>
  <c r="BD8" i="4"/>
  <c r="AZ22" i="4"/>
  <c r="AZ20" i="4"/>
  <c r="BA20" i="4" s="1"/>
  <c r="BD28" i="4" s="1"/>
  <c r="AZ18" i="4"/>
  <c r="AZ16" i="4"/>
  <c r="AZ14" i="4"/>
  <c r="AZ12" i="4"/>
  <c r="AZ10" i="4"/>
  <c r="AZ8" i="4"/>
  <c r="BA8" i="4" s="1"/>
  <c r="BD16" i="4" s="1"/>
  <c r="AA127" i="1" s="1"/>
  <c r="AZ8" i="4" a="1"/>
  <c r="AZ19" i="4" s="1"/>
  <c r="AR8" i="4"/>
  <c r="AQ8" i="4"/>
  <c r="AP8" i="4"/>
  <c r="AO8" i="4"/>
  <c r="AN8" i="4"/>
  <c r="AM8" i="4"/>
  <c r="AL8" i="4"/>
  <c r="AK8" i="4"/>
  <c r="AJ8" i="4"/>
  <c r="AI8" i="4"/>
  <c r="AH8" i="4"/>
  <c r="AG8" i="4"/>
  <c r="AF8" i="4"/>
  <c r="AE8" i="4"/>
  <c r="AD8" i="4"/>
  <c r="AC8" i="4"/>
  <c r="AB8" i="4"/>
  <c r="AA8" i="4"/>
  <c r="Z8" i="4"/>
  <c r="W8" i="4"/>
  <c r="S8" i="4"/>
  <c r="R8" i="4"/>
  <c r="T8" i="4" s="1"/>
  <c r="EB7" i="4"/>
  <c r="EB8" i="4" s="1"/>
  <c r="EA7" i="4"/>
  <c r="DZ7" i="4"/>
  <c r="DY7" i="4"/>
  <c r="DX7" i="4"/>
  <c r="DX8" i="4" s="1"/>
  <c r="DW7" i="4"/>
  <c r="CI7" i="4"/>
  <c r="CE7" i="4"/>
  <c r="CF7" i="4" s="1"/>
  <c r="BD7" i="4"/>
  <c r="AZ7" i="4"/>
  <c r="AR7" i="4"/>
  <c r="AQ7" i="4"/>
  <c r="AP7" i="4"/>
  <c r="AO7" i="4"/>
  <c r="AN7" i="4"/>
  <c r="AM7" i="4"/>
  <c r="AL7" i="4"/>
  <c r="AK7" i="4"/>
  <c r="AJ7" i="4"/>
  <c r="AI7" i="4"/>
  <c r="AH7" i="4"/>
  <c r="AG7" i="4"/>
  <c r="AF7" i="4"/>
  <c r="AE7" i="4"/>
  <c r="AD7" i="4"/>
  <c r="AC7" i="4"/>
  <c r="AB7" i="4"/>
  <c r="AA7" i="4"/>
  <c r="Z7" i="4"/>
  <c r="CI6" i="4"/>
  <c r="CE6" i="4"/>
  <c r="BD6" i="4"/>
  <c r="BA6" i="4"/>
  <c r="AZ6" i="4"/>
  <c r="BA7" i="4" s="1"/>
  <c r="BD15" i="4" s="1"/>
  <c r="DT3" i="4"/>
  <c r="DS3" i="4"/>
  <c r="DR3" i="4"/>
  <c r="DV3" i="4" s="1"/>
  <c r="DQ3" i="4"/>
  <c r="DP3" i="4"/>
  <c r="DO3" i="4"/>
  <c r="DN3" i="4"/>
  <c r="DM3" i="4"/>
  <c r="DL3" i="4"/>
  <c r="DK3" i="4"/>
  <c r="DJ3" i="4"/>
  <c r="DI3" i="4"/>
  <c r="DH3" i="4"/>
  <c r="DG3" i="4"/>
  <c r="DT2" i="4"/>
  <c r="DT2" i="4" a="1"/>
  <c r="DS2" i="4" a="1"/>
  <c r="DS2" i="4" s="1"/>
  <c r="DR2" i="4" a="1"/>
  <c r="DR2" i="4" s="1"/>
  <c r="DQ2" i="4" a="1"/>
  <c r="DQ2" i="4" s="1"/>
  <c r="DP2" i="4" a="1"/>
  <c r="DP2" i="4" s="1"/>
  <c r="DO2" i="4" a="1"/>
  <c r="DO2" i="4" s="1"/>
  <c r="DN2" i="4" a="1"/>
  <c r="DN2" i="4" s="1"/>
  <c r="DM2" i="4" a="1"/>
  <c r="DM2" i="4" s="1"/>
  <c r="DL2" i="4" a="1"/>
  <c r="DL2" i="4" s="1"/>
  <c r="DK2" i="4" a="1"/>
  <c r="DK2" i="4" s="1"/>
  <c r="DJ2" i="4" a="1"/>
  <c r="DJ2" i="4" s="1"/>
  <c r="DI2" i="4" a="1"/>
  <c r="DI2" i="4" s="1"/>
  <c r="CM7" i="4" s="1"/>
  <c r="DH2" i="4" a="1"/>
  <c r="DH2" i="4" s="1"/>
  <c r="DG2" i="4" a="1"/>
  <c r="DG2" i="4" s="1"/>
  <c r="M268" i="3"/>
  <c r="L268" i="3"/>
  <c r="K268" i="3"/>
  <c r="J268" i="3"/>
  <c r="I268" i="3"/>
  <c r="H268" i="3"/>
  <c r="G268" i="3"/>
  <c r="F268" i="3"/>
  <c r="E268" i="3"/>
  <c r="D268" i="3"/>
  <c r="C268" i="3"/>
  <c r="B268" i="3"/>
  <c r="B269" i="3" s="1"/>
  <c r="L266" i="3"/>
  <c r="K266" i="3"/>
  <c r="J266" i="3"/>
  <c r="I266" i="3"/>
  <c r="H266" i="3"/>
  <c r="G266" i="3"/>
  <c r="F266" i="3"/>
  <c r="E266" i="3"/>
  <c r="D266" i="3"/>
  <c r="C266" i="3"/>
  <c r="B266" i="3"/>
  <c r="L265" i="3"/>
  <c r="K265" i="3"/>
  <c r="J265" i="3"/>
  <c r="I265" i="3"/>
  <c r="H265" i="3"/>
  <c r="G265" i="3"/>
  <c r="F265" i="3"/>
  <c r="E265" i="3"/>
  <c r="D265" i="3"/>
  <c r="C265" i="3"/>
  <c r="B265" i="3"/>
  <c r="L264" i="3"/>
  <c r="K264" i="3"/>
  <c r="J264" i="3"/>
  <c r="I264" i="3"/>
  <c r="H264" i="3"/>
  <c r="G264" i="3"/>
  <c r="F264" i="3"/>
  <c r="E264" i="3"/>
  <c r="D264" i="3"/>
  <c r="C264" i="3"/>
  <c r="B264" i="3"/>
  <c r="L263" i="3"/>
  <c r="K263" i="3"/>
  <c r="J263" i="3"/>
  <c r="I263" i="3"/>
  <c r="H263" i="3"/>
  <c r="G263" i="3"/>
  <c r="F263" i="3"/>
  <c r="E263" i="3"/>
  <c r="D263" i="3"/>
  <c r="C263" i="3"/>
  <c r="B263" i="3"/>
  <c r="AA259" i="3"/>
  <c r="M259" i="3"/>
  <c r="L259" i="3"/>
  <c r="K259" i="3"/>
  <c r="Z259" i="3" s="1"/>
  <c r="J259" i="3"/>
  <c r="I259" i="3"/>
  <c r="H259" i="3"/>
  <c r="G259" i="3"/>
  <c r="V259" i="3" s="1"/>
  <c r="F259" i="3"/>
  <c r="E259" i="3"/>
  <c r="D259" i="3"/>
  <c r="R259" i="3" s="1"/>
  <c r="C259" i="3"/>
  <c r="Q259" i="3" s="1"/>
  <c r="B259" i="3"/>
  <c r="AA258" i="3"/>
  <c r="M258" i="3"/>
  <c r="L258" i="3"/>
  <c r="Z258" i="3" s="1"/>
  <c r="K258" i="3"/>
  <c r="J258" i="3"/>
  <c r="Y258" i="3" s="1"/>
  <c r="I258" i="3"/>
  <c r="H258" i="3"/>
  <c r="G258" i="3"/>
  <c r="F258" i="3"/>
  <c r="U258" i="3" s="1"/>
  <c r="E258" i="3"/>
  <c r="D258" i="3"/>
  <c r="C258" i="3"/>
  <c r="B258" i="3"/>
  <c r="Q258" i="3" s="1"/>
  <c r="AA257" i="3"/>
  <c r="Z257" i="3"/>
  <c r="M257" i="3"/>
  <c r="L257" i="3"/>
  <c r="K257" i="3"/>
  <c r="Y257" i="3" s="1"/>
  <c r="J257" i="3"/>
  <c r="I257" i="3"/>
  <c r="X257" i="3" s="1"/>
  <c r="H257" i="3"/>
  <c r="G257" i="3"/>
  <c r="U257" i="3" s="1"/>
  <c r="F257" i="3"/>
  <c r="E257" i="3"/>
  <c r="T257" i="3" s="1"/>
  <c r="D257" i="3"/>
  <c r="C257" i="3"/>
  <c r="Q257" i="3" s="1"/>
  <c r="B257" i="3"/>
  <c r="AA256" i="3"/>
  <c r="Y256" i="3"/>
  <c r="U256" i="3"/>
  <c r="M256" i="3"/>
  <c r="L256" i="3"/>
  <c r="Z256" i="3" s="1"/>
  <c r="K256" i="3"/>
  <c r="J256" i="3"/>
  <c r="X256" i="3" s="1"/>
  <c r="I256" i="3"/>
  <c r="H256" i="3"/>
  <c r="W256" i="3" s="1"/>
  <c r="G256" i="3"/>
  <c r="F256" i="3"/>
  <c r="T256" i="3" s="1"/>
  <c r="E256" i="3"/>
  <c r="D256" i="3"/>
  <c r="S256" i="3" s="1"/>
  <c r="C256" i="3"/>
  <c r="B256" i="3"/>
  <c r="Q256" i="3" s="1"/>
  <c r="AA255" i="3"/>
  <c r="X255" i="3"/>
  <c r="T255" i="3"/>
  <c r="M255" i="3"/>
  <c r="L255" i="3"/>
  <c r="K255" i="3"/>
  <c r="Z255" i="3" s="1"/>
  <c r="J255" i="3"/>
  <c r="I255" i="3"/>
  <c r="W255" i="3" s="1"/>
  <c r="H255" i="3"/>
  <c r="G255" i="3"/>
  <c r="V255" i="3" s="1"/>
  <c r="F255" i="3"/>
  <c r="E255" i="3"/>
  <c r="S255" i="3" s="1"/>
  <c r="D255" i="3"/>
  <c r="C255" i="3"/>
  <c r="R255" i="3" s="1"/>
  <c r="B255" i="3"/>
  <c r="AA254" i="3"/>
  <c r="W254" i="3"/>
  <c r="S254" i="3"/>
  <c r="M254" i="3"/>
  <c r="L254" i="3"/>
  <c r="Z254" i="3" s="1"/>
  <c r="K254" i="3"/>
  <c r="J254" i="3"/>
  <c r="Y254" i="3" s="1"/>
  <c r="I254" i="3"/>
  <c r="H254" i="3"/>
  <c r="V254" i="3" s="1"/>
  <c r="G254" i="3"/>
  <c r="F254" i="3"/>
  <c r="U254" i="3" s="1"/>
  <c r="E254" i="3"/>
  <c r="D254" i="3"/>
  <c r="R254" i="3" s="1"/>
  <c r="C254" i="3"/>
  <c r="B254" i="3"/>
  <c r="Q254" i="3" s="1"/>
  <c r="AA253" i="3"/>
  <c r="R253" i="3"/>
  <c r="M253" i="3"/>
  <c r="L253" i="3"/>
  <c r="K253" i="3"/>
  <c r="Y253" i="3" s="1"/>
  <c r="J253" i="3"/>
  <c r="I253" i="3"/>
  <c r="X253" i="3" s="1"/>
  <c r="H253" i="3"/>
  <c r="G253" i="3"/>
  <c r="U253" i="3" s="1"/>
  <c r="F253" i="3"/>
  <c r="E253" i="3"/>
  <c r="T253" i="3" s="1"/>
  <c r="D253" i="3"/>
  <c r="C253" i="3"/>
  <c r="Q253" i="3" s="1"/>
  <c r="B253" i="3"/>
  <c r="AA252" i="3"/>
  <c r="M252" i="3"/>
  <c r="L252" i="3"/>
  <c r="Z252" i="3" s="1"/>
  <c r="K252" i="3"/>
  <c r="J252" i="3"/>
  <c r="I252" i="3"/>
  <c r="H252" i="3"/>
  <c r="W252" i="3" s="1"/>
  <c r="G252" i="3"/>
  <c r="F252" i="3"/>
  <c r="E252" i="3"/>
  <c r="D252" i="3"/>
  <c r="S252" i="3" s="1"/>
  <c r="C252" i="3"/>
  <c r="B252" i="3"/>
  <c r="Q252" i="3" s="1"/>
  <c r="C251" i="3"/>
  <c r="Q251" i="3" s="1"/>
  <c r="B251" i="3"/>
  <c r="AA250" i="3"/>
  <c r="W250" i="3"/>
  <c r="S250" i="3"/>
  <c r="M250" i="3"/>
  <c r="L250" i="3"/>
  <c r="Z250" i="3" s="1"/>
  <c r="K250" i="3"/>
  <c r="J250" i="3"/>
  <c r="Y250" i="3" s="1"/>
  <c r="I250" i="3"/>
  <c r="H250" i="3"/>
  <c r="V250" i="3" s="1"/>
  <c r="G250" i="3"/>
  <c r="F250" i="3"/>
  <c r="U250" i="3" s="1"/>
  <c r="E250" i="3"/>
  <c r="D250" i="3"/>
  <c r="R250" i="3" s="1"/>
  <c r="C250" i="3"/>
  <c r="B250" i="3"/>
  <c r="Q250" i="3" s="1"/>
  <c r="AA249" i="3"/>
  <c r="V249" i="3"/>
  <c r="M249" i="3"/>
  <c r="L249" i="3"/>
  <c r="K249" i="3"/>
  <c r="J249" i="3"/>
  <c r="I249" i="3"/>
  <c r="X249" i="3" s="1"/>
  <c r="H249" i="3"/>
  <c r="G249" i="3"/>
  <c r="U249" i="3" s="1"/>
  <c r="F249" i="3"/>
  <c r="E249" i="3"/>
  <c r="T249" i="3" s="1"/>
  <c r="D249" i="3"/>
  <c r="C249" i="3"/>
  <c r="B249" i="3"/>
  <c r="C248" i="3"/>
  <c r="B248" i="3"/>
  <c r="Q248" i="3" s="1"/>
  <c r="AA247" i="3"/>
  <c r="X247" i="3"/>
  <c r="M247" i="3"/>
  <c r="L247" i="3"/>
  <c r="K247" i="3"/>
  <c r="Z247" i="3" s="1"/>
  <c r="J247" i="3"/>
  <c r="I247" i="3"/>
  <c r="W247" i="3" s="1"/>
  <c r="H247" i="3"/>
  <c r="G247" i="3"/>
  <c r="V247" i="3" s="1"/>
  <c r="F247" i="3"/>
  <c r="E247" i="3"/>
  <c r="S247" i="3" s="1"/>
  <c r="D247" i="3"/>
  <c r="C247" i="3"/>
  <c r="R247" i="3" s="1"/>
  <c r="B247" i="3"/>
  <c r="AA246" i="3"/>
  <c r="W246" i="3"/>
  <c r="S246" i="3"/>
  <c r="M246" i="3"/>
  <c r="L246" i="3"/>
  <c r="Z246" i="3" s="1"/>
  <c r="K246" i="3"/>
  <c r="J246" i="3"/>
  <c r="Y246" i="3" s="1"/>
  <c r="I246" i="3"/>
  <c r="H246" i="3"/>
  <c r="V246" i="3" s="1"/>
  <c r="G246" i="3"/>
  <c r="F246" i="3"/>
  <c r="U246" i="3" s="1"/>
  <c r="E246" i="3"/>
  <c r="D246" i="3"/>
  <c r="R246" i="3" s="1"/>
  <c r="C246" i="3"/>
  <c r="B246" i="3"/>
  <c r="Q246" i="3" s="1"/>
  <c r="AA245" i="3"/>
  <c r="V245" i="3"/>
  <c r="M245" i="3"/>
  <c r="L245" i="3"/>
  <c r="K245" i="3"/>
  <c r="J245" i="3"/>
  <c r="I245" i="3"/>
  <c r="X245" i="3" s="1"/>
  <c r="H245" i="3"/>
  <c r="G245" i="3"/>
  <c r="U245" i="3" s="1"/>
  <c r="F245" i="3"/>
  <c r="E245" i="3"/>
  <c r="T245" i="3" s="1"/>
  <c r="D245" i="3"/>
  <c r="C245" i="3"/>
  <c r="B245" i="3"/>
  <c r="AA244" i="3"/>
  <c r="U244" i="3"/>
  <c r="M244" i="3"/>
  <c r="L244" i="3"/>
  <c r="Z244" i="3" s="1"/>
  <c r="K244" i="3"/>
  <c r="J244" i="3"/>
  <c r="X244" i="3" s="1"/>
  <c r="I244" i="3"/>
  <c r="H244" i="3"/>
  <c r="W244" i="3" s="1"/>
  <c r="G244" i="3"/>
  <c r="F244" i="3"/>
  <c r="T244" i="3" s="1"/>
  <c r="E244" i="3"/>
  <c r="D244" i="3"/>
  <c r="S244" i="3" s="1"/>
  <c r="C244" i="3"/>
  <c r="B244" i="3"/>
  <c r="Q244" i="3" s="1"/>
  <c r="AA243" i="3"/>
  <c r="T243" i="3"/>
  <c r="M243" i="3"/>
  <c r="L243" i="3"/>
  <c r="K243" i="3"/>
  <c r="Z243" i="3" s="1"/>
  <c r="J243" i="3"/>
  <c r="I243" i="3"/>
  <c r="W243" i="3" s="1"/>
  <c r="H243" i="3"/>
  <c r="G243" i="3"/>
  <c r="V243" i="3" s="1"/>
  <c r="F243" i="3"/>
  <c r="E243" i="3"/>
  <c r="S243" i="3" s="1"/>
  <c r="D243" i="3"/>
  <c r="C243" i="3"/>
  <c r="R243" i="3" s="1"/>
  <c r="B243" i="3"/>
  <c r="AA242" i="3"/>
  <c r="M242" i="3"/>
  <c r="L242" i="3"/>
  <c r="Z242" i="3" s="1"/>
  <c r="K242" i="3"/>
  <c r="J242" i="3"/>
  <c r="Y242" i="3" s="1"/>
  <c r="I242" i="3"/>
  <c r="H242" i="3"/>
  <c r="V242" i="3" s="1"/>
  <c r="G242" i="3"/>
  <c r="F242" i="3"/>
  <c r="U242" i="3" s="1"/>
  <c r="E242" i="3"/>
  <c r="D242" i="3"/>
  <c r="R242" i="3" s="1"/>
  <c r="C242" i="3"/>
  <c r="B242" i="3"/>
  <c r="Q242" i="3" s="1"/>
  <c r="AA241" i="3"/>
  <c r="Z241" i="3"/>
  <c r="R241" i="3"/>
  <c r="M241" i="3"/>
  <c r="L241" i="3"/>
  <c r="K241" i="3"/>
  <c r="Y241" i="3" s="1"/>
  <c r="J241" i="3"/>
  <c r="I241" i="3"/>
  <c r="X241" i="3" s="1"/>
  <c r="H241" i="3"/>
  <c r="G241" i="3"/>
  <c r="U241" i="3" s="1"/>
  <c r="F241" i="3"/>
  <c r="E241" i="3"/>
  <c r="T241" i="3" s="1"/>
  <c r="D241" i="3"/>
  <c r="C241" i="3"/>
  <c r="Q241" i="3" s="1"/>
  <c r="B241" i="3"/>
  <c r="AA240" i="3"/>
  <c r="Y240" i="3"/>
  <c r="M240" i="3"/>
  <c r="L240" i="3"/>
  <c r="Z240" i="3" s="1"/>
  <c r="K240" i="3"/>
  <c r="J240" i="3"/>
  <c r="X240" i="3" s="1"/>
  <c r="I240" i="3"/>
  <c r="H240" i="3"/>
  <c r="W240" i="3" s="1"/>
  <c r="G240" i="3"/>
  <c r="F240" i="3"/>
  <c r="T240" i="3" s="1"/>
  <c r="E240" i="3"/>
  <c r="D240" i="3"/>
  <c r="S240" i="3" s="1"/>
  <c r="C240" i="3"/>
  <c r="B240" i="3"/>
  <c r="Q240" i="3" s="1"/>
  <c r="AA239" i="3"/>
  <c r="X239" i="3"/>
  <c r="M239" i="3"/>
  <c r="L239" i="3"/>
  <c r="K239" i="3"/>
  <c r="Z239" i="3" s="1"/>
  <c r="J239" i="3"/>
  <c r="I239" i="3"/>
  <c r="W239" i="3" s="1"/>
  <c r="H239" i="3"/>
  <c r="G239" i="3"/>
  <c r="V239" i="3" s="1"/>
  <c r="F239" i="3"/>
  <c r="E239" i="3"/>
  <c r="S239" i="3" s="1"/>
  <c r="D239" i="3"/>
  <c r="C239" i="3"/>
  <c r="R239" i="3" s="1"/>
  <c r="B239" i="3"/>
  <c r="AA238" i="3"/>
  <c r="W238" i="3"/>
  <c r="S238" i="3"/>
  <c r="M238" i="3"/>
  <c r="L238" i="3"/>
  <c r="Z238" i="3" s="1"/>
  <c r="K238" i="3"/>
  <c r="J238" i="3"/>
  <c r="Y238" i="3" s="1"/>
  <c r="I238" i="3"/>
  <c r="H238" i="3"/>
  <c r="V238" i="3" s="1"/>
  <c r="G238" i="3"/>
  <c r="F238" i="3"/>
  <c r="U238" i="3" s="1"/>
  <c r="E238" i="3"/>
  <c r="D238" i="3"/>
  <c r="R238" i="3" s="1"/>
  <c r="C238" i="3"/>
  <c r="B238" i="3"/>
  <c r="Q238" i="3" s="1"/>
  <c r="AA237" i="3"/>
  <c r="M237" i="3"/>
  <c r="L237" i="3"/>
  <c r="K237" i="3"/>
  <c r="J237" i="3"/>
  <c r="I237" i="3"/>
  <c r="X237" i="3" s="1"/>
  <c r="H237" i="3"/>
  <c r="G237" i="3"/>
  <c r="F237" i="3"/>
  <c r="E237" i="3"/>
  <c r="T237" i="3" s="1"/>
  <c r="D237" i="3"/>
  <c r="C237" i="3"/>
  <c r="B237" i="3"/>
  <c r="AA234" i="3"/>
  <c r="U234" i="3"/>
  <c r="M234" i="3"/>
  <c r="L234" i="3"/>
  <c r="Z234" i="3" s="1"/>
  <c r="K234" i="3"/>
  <c r="J234" i="3"/>
  <c r="X234" i="3" s="1"/>
  <c r="I234" i="3"/>
  <c r="H234" i="3"/>
  <c r="W234" i="3" s="1"/>
  <c r="G234" i="3"/>
  <c r="F234" i="3"/>
  <c r="T234" i="3" s="1"/>
  <c r="E234" i="3"/>
  <c r="D234" i="3"/>
  <c r="S234" i="3" s="1"/>
  <c r="C234" i="3"/>
  <c r="B234" i="3"/>
  <c r="Q234" i="3" s="1"/>
  <c r="AA233" i="3"/>
  <c r="T233" i="3"/>
  <c r="M233" i="3"/>
  <c r="L233" i="3"/>
  <c r="K233" i="3"/>
  <c r="Z233" i="3" s="1"/>
  <c r="J233" i="3"/>
  <c r="I233" i="3"/>
  <c r="W233" i="3" s="1"/>
  <c r="H233" i="3"/>
  <c r="G233" i="3"/>
  <c r="V233" i="3" s="1"/>
  <c r="F233" i="3"/>
  <c r="E233" i="3"/>
  <c r="S233" i="3" s="1"/>
  <c r="D233" i="3"/>
  <c r="C233" i="3"/>
  <c r="R233" i="3" s="1"/>
  <c r="B233" i="3"/>
  <c r="AA232" i="3"/>
  <c r="M232" i="3"/>
  <c r="L232" i="3"/>
  <c r="Z232" i="3" s="1"/>
  <c r="K232" i="3"/>
  <c r="J232" i="3"/>
  <c r="Y232" i="3" s="1"/>
  <c r="I232" i="3"/>
  <c r="H232" i="3"/>
  <c r="V232" i="3" s="1"/>
  <c r="G232" i="3"/>
  <c r="F232" i="3"/>
  <c r="U232" i="3" s="1"/>
  <c r="E232" i="3"/>
  <c r="D232" i="3"/>
  <c r="R232" i="3" s="1"/>
  <c r="C232" i="3"/>
  <c r="B232" i="3"/>
  <c r="Q232" i="3" s="1"/>
  <c r="AA231" i="3"/>
  <c r="Z231" i="3"/>
  <c r="R231" i="3"/>
  <c r="M231" i="3"/>
  <c r="L231" i="3"/>
  <c r="K231" i="3"/>
  <c r="Y231" i="3" s="1"/>
  <c r="J231" i="3"/>
  <c r="I231" i="3"/>
  <c r="X231" i="3" s="1"/>
  <c r="H231" i="3"/>
  <c r="G231" i="3"/>
  <c r="U231" i="3" s="1"/>
  <c r="F231" i="3"/>
  <c r="E231" i="3"/>
  <c r="T231" i="3" s="1"/>
  <c r="D231" i="3"/>
  <c r="C231" i="3"/>
  <c r="Q231" i="3" s="1"/>
  <c r="B231" i="3"/>
  <c r="AA230" i="3"/>
  <c r="Y230" i="3"/>
  <c r="M230" i="3"/>
  <c r="L230" i="3"/>
  <c r="Z230" i="3" s="1"/>
  <c r="K230" i="3"/>
  <c r="J230" i="3"/>
  <c r="X230" i="3" s="1"/>
  <c r="I230" i="3"/>
  <c r="H230" i="3"/>
  <c r="W230" i="3" s="1"/>
  <c r="G230" i="3"/>
  <c r="F230" i="3"/>
  <c r="T230" i="3" s="1"/>
  <c r="E230" i="3"/>
  <c r="D230" i="3"/>
  <c r="S230" i="3" s="1"/>
  <c r="C230" i="3"/>
  <c r="B230" i="3"/>
  <c r="Q230" i="3" s="1"/>
  <c r="AA229" i="3"/>
  <c r="X229" i="3"/>
  <c r="M229" i="3"/>
  <c r="L229" i="3"/>
  <c r="K229" i="3"/>
  <c r="Z229" i="3" s="1"/>
  <c r="J229" i="3"/>
  <c r="I229" i="3"/>
  <c r="W229" i="3" s="1"/>
  <c r="H229" i="3"/>
  <c r="G229" i="3"/>
  <c r="V229" i="3" s="1"/>
  <c r="F229" i="3"/>
  <c r="E229" i="3"/>
  <c r="S229" i="3" s="1"/>
  <c r="D229" i="3"/>
  <c r="C229" i="3"/>
  <c r="R229" i="3" s="1"/>
  <c r="B229" i="3"/>
  <c r="AA228" i="3"/>
  <c r="W228" i="3"/>
  <c r="S228" i="3"/>
  <c r="M228" i="3"/>
  <c r="L228" i="3"/>
  <c r="Z228" i="3" s="1"/>
  <c r="K228" i="3"/>
  <c r="J228" i="3"/>
  <c r="Y228" i="3" s="1"/>
  <c r="I228" i="3"/>
  <c r="H228" i="3"/>
  <c r="V228" i="3" s="1"/>
  <c r="G228" i="3"/>
  <c r="F228" i="3"/>
  <c r="U228" i="3" s="1"/>
  <c r="E228" i="3"/>
  <c r="D228" i="3"/>
  <c r="R228" i="3" s="1"/>
  <c r="C228" i="3"/>
  <c r="B228" i="3"/>
  <c r="Q228" i="3" s="1"/>
  <c r="AA227" i="3"/>
  <c r="M227" i="3"/>
  <c r="L227" i="3"/>
  <c r="K227" i="3"/>
  <c r="J227" i="3"/>
  <c r="I227" i="3"/>
  <c r="X227" i="3" s="1"/>
  <c r="H227" i="3"/>
  <c r="G227" i="3"/>
  <c r="U227" i="3" s="1"/>
  <c r="F227" i="3"/>
  <c r="E227" i="3"/>
  <c r="T227" i="3" s="1"/>
  <c r="D227" i="3"/>
  <c r="C227" i="3"/>
  <c r="B227" i="3"/>
  <c r="C226" i="3"/>
  <c r="B226" i="3"/>
  <c r="Q226" i="3" s="1"/>
  <c r="AA225" i="3"/>
  <c r="X225" i="3"/>
  <c r="M225" i="3"/>
  <c r="L225" i="3"/>
  <c r="K225" i="3"/>
  <c r="Z225" i="3" s="1"/>
  <c r="J225" i="3"/>
  <c r="I225" i="3"/>
  <c r="W225" i="3" s="1"/>
  <c r="H225" i="3"/>
  <c r="G225" i="3"/>
  <c r="V225" i="3" s="1"/>
  <c r="F225" i="3"/>
  <c r="E225" i="3"/>
  <c r="S225" i="3" s="1"/>
  <c r="D225" i="3"/>
  <c r="C225" i="3"/>
  <c r="R225" i="3" s="1"/>
  <c r="B225" i="3"/>
  <c r="AA224" i="3"/>
  <c r="W224" i="3"/>
  <c r="S224" i="3"/>
  <c r="M224" i="3"/>
  <c r="L224" i="3"/>
  <c r="Z224" i="3" s="1"/>
  <c r="K224" i="3"/>
  <c r="J224" i="3"/>
  <c r="Y224" i="3" s="1"/>
  <c r="I224" i="3"/>
  <c r="H224" i="3"/>
  <c r="V224" i="3" s="1"/>
  <c r="G224" i="3"/>
  <c r="F224" i="3"/>
  <c r="U224" i="3" s="1"/>
  <c r="E224" i="3"/>
  <c r="D224" i="3"/>
  <c r="R224" i="3" s="1"/>
  <c r="C224" i="3"/>
  <c r="B224" i="3"/>
  <c r="Q224" i="3" s="1"/>
  <c r="C223" i="3"/>
  <c r="Q223" i="3" s="1"/>
  <c r="B223" i="3"/>
  <c r="AA222" i="3"/>
  <c r="Y222" i="3"/>
  <c r="M222" i="3"/>
  <c r="L222" i="3"/>
  <c r="Z222" i="3" s="1"/>
  <c r="K222" i="3"/>
  <c r="J222" i="3"/>
  <c r="X222" i="3" s="1"/>
  <c r="I222" i="3"/>
  <c r="H222" i="3"/>
  <c r="W222" i="3" s="1"/>
  <c r="G222" i="3"/>
  <c r="F222" i="3"/>
  <c r="T222" i="3" s="1"/>
  <c r="E222" i="3"/>
  <c r="D222" i="3"/>
  <c r="S222" i="3" s="1"/>
  <c r="C222" i="3"/>
  <c r="B222" i="3"/>
  <c r="Q222" i="3" s="1"/>
  <c r="AA221" i="3"/>
  <c r="X221" i="3"/>
  <c r="M221" i="3"/>
  <c r="L221" i="3"/>
  <c r="K221" i="3"/>
  <c r="Z221" i="3" s="1"/>
  <c r="J221" i="3"/>
  <c r="I221" i="3"/>
  <c r="W221" i="3" s="1"/>
  <c r="H221" i="3"/>
  <c r="G221" i="3"/>
  <c r="V221" i="3" s="1"/>
  <c r="F221" i="3"/>
  <c r="E221" i="3"/>
  <c r="S221" i="3" s="1"/>
  <c r="D221" i="3"/>
  <c r="C221" i="3"/>
  <c r="R221" i="3" s="1"/>
  <c r="B221" i="3"/>
  <c r="AA220" i="3"/>
  <c r="W220" i="3"/>
  <c r="S220" i="3"/>
  <c r="M220" i="3"/>
  <c r="L220" i="3"/>
  <c r="Z220" i="3" s="1"/>
  <c r="K220" i="3"/>
  <c r="J220" i="3"/>
  <c r="Y220" i="3" s="1"/>
  <c r="I220" i="3"/>
  <c r="H220" i="3"/>
  <c r="V220" i="3" s="1"/>
  <c r="G220" i="3"/>
  <c r="F220" i="3"/>
  <c r="U220" i="3" s="1"/>
  <c r="E220" i="3"/>
  <c r="D220" i="3"/>
  <c r="R220" i="3" s="1"/>
  <c r="C220" i="3"/>
  <c r="B220" i="3"/>
  <c r="Q220" i="3" s="1"/>
  <c r="AA219" i="3"/>
  <c r="V219" i="3"/>
  <c r="M219" i="3"/>
  <c r="L219" i="3"/>
  <c r="K219" i="3"/>
  <c r="J219" i="3"/>
  <c r="I219" i="3"/>
  <c r="X219" i="3" s="1"/>
  <c r="H219" i="3"/>
  <c r="G219" i="3"/>
  <c r="U219" i="3" s="1"/>
  <c r="F219" i="3"/>
  <c r="E219" i="3"/>
  <c r="T219" i="3" s="1"/>
  <c r="D219" i="3"/>
  <c r="C219" i="3"/>
  <c r="B219" i="3"/>
  <c r="AA218" i="3"/>
  <c r="U218" i="3"/>
  <c r="M218" i="3"/>
  <c r="L218" i="3"/>
  <c r="Z218" i="3" s="1"/>
  <c r="K218" i="3"/>
  <c r="J218" i="3"/>
  <c r="X218" i="3" s="1"/>
  <c r="I218" i="3"/>
  <c r="H218" i="3"/>
  <c r="W218" i="3" s="1"/>
  <c r="G218" i="3"/>
  <c r="F218" i="3"/>
  <c r="T218" i="3" s="1"/>
  <c r="E218" i="3"/>
  <c r="D218" i="3"/>
  <c r="S218" i="3" s="1"/>
  <c r="C218" i="3"/>
  <c r="B218" i="3"/>
  <c r="Q218" i="3" s="1"/>
  <c r="AA217" i="3"/>
  <c r="T217" i="3"/>
  <c r="M217" i="3"/>
  <c r="L217" i="3"/>
  <c r="K217" i="3"/>
  <c r="Z217" i="3" s="1"/>
  <c r="J217" i="3"/>
  <c r="I217" i="3"/>
  <c r="W217" i="3" s="1"/>
  <c r="H217" i="3"/>
  <c r="G217" i="3"/>
  <c r="V217" i="3" s="1"/>
  <c r="F217" i="3"/>
  <c r="E217" i="3"/>
  <c r="S217" i="3" s="1"/>
  <c r="D217" i="3"/>
  <c r="C217" i="3"/>
  <c r="R217" i="3" s="1"/>
  <c r="B217" i="3"/>
  <c r="AA216" i="3"/>
  <c r="M216" i="3"/>
  <c r="L216" i="3"/>
  <c r="Z216" i="3" s="1"/>
  <c r="K216" i="3"/>
  <c r="J216" i="3"/>
  <c r="Y216" i="3" s="1"/>
  <c r="I216" i="3"/>
  <c r="H216" i="3"/>
  <c r="V216" i="3" s="1"/>
  <c r="G216" i="3"/>
  <c r="F216" i="3"/>
  <c r="U216" i="3" s="1"/>
  <c r="E216" i="3"/>
  <c r="D216" i="3"/>
  <c r="R216" i="3" s="1"/>
  <c r="C216" i="3"/>
  <c r="B216" i="3"/>
  <c r="Q216" i="3" s="1"/>
  <c r="AA215" i="3"/>
  <c r="Z215" i="3"/>
  <c r="R215" i="3"/>
  <c r="M215" i="3"/>
  <c r="L215" i="3"/>
  <c r="K215" i="3"/>
  <c r="Y215" i="3" s="1"/>
  <c r="J215" i="3"/>
  <c r="I215" i="3"/>
  <c r="X215" i="3" s="1"/>
  <c r="H215" i="3"/>
  <c r="G215" i="3"/>
  <c r="U215" i="3" s="1"/>
  <c r="F215" i="3"/>
  <c r="E215" i="3"/>
  <c r="T215" i="3" s="1"/>
  <c r="D215" i="3"/>
  <c r="C215" i="3"/>
  <c r="Q215" i="3" s="1"/>
  <c r="B215" i="3"/>
  <c r="AA214" i="3"/>
  <c r="Y214" i="3"/>
  <c r="M214" i="3"/>
  <c r="L214" i="3"/>
  <c r="Z214" i="3" s="1"/>
  <c r="K214" i="3"/>
  <c r="J214" i="3"/>
  <c r="X214" i="3" s="1"/>
  <c r="I214" i="3"/>
  <c r="H214" i="3"/>
  <c r="W214" i="3" s="1"/>
  <c r="G214" i="3"/>
  <c r="F214" i="3"/>
  <c r="T214" i="3" s="1"/>
  <c r="E214" i="3"/>
  <c r="D214" i="3"/>
  <c r="S214" i="3" s="1"/>
  <c r="C214" i="3"/>
  <c r="B214" i="3"/>
  <c r="Q214" i="3" s="1"/>
  <c r="AA213" i="3"/>
  <c r="X213" i="3"/>
  <c r="M213" i="3"/>
  <c r="L213" i="3"/>
  <c r="K213" i="3"/>
  <c r="Z213" i="3" s="1"/>
  <c r="J213" i="3"/>
  <c r="I213" i="3"/>
  <c r="W213" i="3" s="1"/>
  <c r="H213" i="3"/>
  <c r="G213" i="3"/>
  <c r="V213" i="3" s="1"/>
  <c r="F213" i="3"/>
  <c r="E213" i="3"/>
  <c r="S213" i="3" s="1"/>
  <c r="D213" i="3"/>
  <c r="C213" i="3"/>
  <c r="R213" i="3" s="1"/>
  <c r="B213" i="3"/>
  <c r="AA212" i="3"/>
  <c r="W212" i="3"/>
  <c r="S212" i="3"/>
  <c r="M212" i="3"/>
  <c r="L212" i="3"/>
  <c r="Z212" i="3" s="1"/>
  <c r="K212" i="3"/>
  <c r="J212" i="3"/>
  <c r="Y212" i="3" s="1"/>
  <c r="I212" i="3"/>
  <c r="H212" i="3"/>
  <c r="V212" i="3" s="1"/>
  <c r="G212" i="3"/>
  <c r="F212" i="3"/>
  <c r="U212" i="3" s="1"/>
  <c r="E212" i="3"/>
  <c r="D212" i="3"/>
  <c r="R212" i="3" s="1"/>
  <c r="C212" i="3"/>
  <c r="B212" i="3"/>
  <c r="Q212" i="3" s="1"/>
  <c r="AA209" i="3"/>
  <c r="M209" i="3"/>
  <c r="L209" i="3"/>
  <c r="K209" i="3"/>
  <c r="J209" i="3"/>
  <c r="I209" i="3"/>
  <c r="X209" i="3" s="1"/>
  <c r="H209" i="3"/>
  <c r="G209" i="3"/>
  <c r="F209" i="3"/>
  <c r="E209" i="3"/>
  <c r="T209" i="3" s="1"/>
  <c r="D209" i="3"/>
  <c r="C209" i="3"/>
  <c r="B209" i="3"/>
  <c r="AA208" i="3"/>
  <c r="U208" i="3"/>
  <c r="M208" i="3"/>
  <c r="L208" i="3"/>
  <c r="Z208" i="3" s="1"/>
  <c r="K208" i="3"/>
  <c r="J208" i="3"/>
  <c r="X208" i="3" s="1"/>
  <c r="I208" i="3"/>
  <c r="H208" i="3"/>
  <c r="W208" i="3" s="1"/>
  <c r="G208" i="3"/>
  <c r="F208" i="3"/>
  <c r="T208" i="3" s="1"/>
  <c r="E208" i="3"/>
  <c r="D208" i="3"/>
  <c r="S208" i="3" s="1"/>
  <c r="C208" i="3"/>
  <c r="B208" i="3"/>
  <c r="Q208" i="3" s="1"/>
  <c r="AA207" i="3"/>
  <c r="T207" i="3"/>
  <c r="M207" i="3"/>
  <c r="L207" i="3"/>
  <c r="K207" i="3"/>
  <c r="Z207" i="3" s="1"/>
  <c r="J207" i="3"/>
  <c r="I207" i="3"/>
  <c r="W207" i="3" s="1"/>
  <c r="H207" i="3"/>
  <c r="G207" i="3"/>
  <c r="V207" i="3" s="1"/>
  <c r="F207" i="3"/>
  <c r="E207" i="3"/>
  <c r="S207" i="3" s="1"/>
  <c r="D207" i="3"/>
  <c r="C207" i="3"/>
  <c r="R207" i="3" s="1"/>
  <c r="B207" i="3"/>
  <c r="AA206" i="3"/>
  <c r="M206" i="3"/>
  <c r="L206" i="3"/>
  <c r="Z206" i="3" s="1"/>
  <c r="K206" i="3"/>
  <c r="J206" i="3"/>
  <c r="Y206" i="3" s="1"/>
  <c r="I206" i="3"/>
  <c r="H206" i="3"/>
  <c r="V206" i="3" s="1"/>
  <c r="G206" i="3"/>
  <c r="F206" i="3"/>
  <c r="U206" i="3" s="1"/>
  <c r="E206" i="3"/>
  <c r="D206" i="3"/>
  <c r="R206" i="3" s="1"/>
  <c r="C206" i="3"/>
  <c r="B206" i="3"/>
  <c r="Q206" i="3" s="1"/>
  <c r="AA205" i="3"/>
  <c r="Z205" i="3"/>
  <c r="R205" i="3"/>
  <c r="M205" i="3"/>
  <c r="L205" i="3"/>
  <c r="K205" i="3"/>
  <c r="Y205" i="3" s="1"/>
  <c r="J205" i="3"/>
  <c r="I205" i="3"/>
  <c r="X205" i="3" s="1"/>
  <c r="H205" i="3"/>
  <c r="G205" i="3"/>
  <c r="U205" i="3" s="1"/>
  <c r="F205" i="3"/>
  <c r="E205" i="3"/>
  <c r="T205" i="3" s="1"/>
  <c r="D205" i="3"/>
  <c r="C205" i="3"/>
  <c r="Q205" i="3" s="1"/>
  <c r="B205" i="3"/>
  <c r="AA204" i="3"/>
  <c r="Y204" i="3"/>
  <c r="M204" i="3"/>
  <c r="L204" i="3"/>
  <c r="Z204" i="3" s="1"/>
  <c r="K204" i="3"/>
  <c r="J204" i="3"/>
  <c r="X204" i="3" s="1"/>
  <c r="I204" i="3"/>
  <c r="H204" i="3"/>
  <c r="W204" i="3" s="1"/>
  <c r="G204" i="3"/>
  <c r="F204" i="3"/>
  <c r="T204" i="3" s="1"/>
  <c r="E204" i="3"/>
  <c r="D204" i="3"/>
  <c r="S204" i="3" s="1"/>
  <c r="C204" i="3"/>
  <c r="B204" i="3"/>
  <c r="Q204" i="3" s="1"/>
  <c r="AA203" i="3"/>
  <c r="X203" i="3"/>
  <c r="M203" i="3"/>
  <c r="L203" i="3"/>
  <c r="K203" i="3"/>
  <c r="Z203" i="3" s="1"/>
  <c r="J203" i="3"/>
  <c r="I203" i="3"/>
  <c r="W203" i="3" s="1"/>
  <c r="H203" i="3"/>
  <c r="G203" i="3"/>
  <c r="V203" i="3" s="1"/>
  <c r="F203" i="3"/>
  <c r="E203" i="3"/>
  <c r="S203" i="3" s="1"/>
  <c r="D203" i="3"/>
  <c r="C203" i="3"/>
  <c r="R203" i="3" s="1"/>
  <c r="B203" i="3"/>
  <c r="AA202" i="3"/>
  <c r="W202" i="3"/>
  <c r="S202" i="3"/>
  <c r="M202" i="3"/>
  <c r="L202" i="3"/>
  <c r="Z202" i="3" s="1"/>
  <c r="K202" i="3"/>
  <c r="J202" i="3"/>
  <c r="Y202" i="3" s="1"/>
  <c r="I202" i="3"/>
  <c r="H202" i="3"/>
  <c r="V202" i="3" s="1"/>
  <c r="G202" i="3"/>
  <c r="F202" i="3"/>
  <c r="U202" i="3" s="1"/>
  <c r="E202" i="3"/>
  <c r="D202" i="3"/>
  <c r="R202" i="3" s="1"/>
  <c r="C202" i="3"/>
  <c r="B202" i="3"/>
  <c r="Q202" i="3" s="1"/>
  <c r="C201" i="3"/>
  <c r="Q201" i="3" s="1"/>
  <c r="B201" i="3"/>
  <c r="AA200" i="3"/>
  <c r="Y200" i="3"/>
  <c r="M200" i="3"/>
  <c r="L200" i="3"/>
  <c r="Z200" i="3" s="1"/>
  <c r="K200" i="3"/>
  <c r="J200" i="3"/>
  <c r="X200" i="3" s="1"/>
  <c r="I200" i="3"/>
  <c r="H200" i="3"/>
  <c r="W200" i="3" s="1"/>
  <c r="G200" i="3"/>
  <c r="F200" i="3"/>
  <c r="T200" i="3" s="1"/>
  <c r="E200" i="3"/>
  <c r="D200" i="3"/>
  <c r="S200" i="3" s="1"/>
  <c r="C200" i="3"/>
  <c r="B200" i="3"/>
  <c r="Q200" i="3" s="1"/>
  <c r="AA199" i="3"/>
  <c r="M199" i="3"/>
  <c r="L199" i="3"/>
  <c r="K199" i="3"/>
  <c r="Z199" i="3" s="1"/>
  <c r="J199" i="3"/>
  <c r="I199" i="3"/>
  <c r="W199" i="3" s="1"/>
  <c r="H199" i="3"/>
  <c r="G199" i="3"/>
  <c r="V199" i="3" s="1"/>
  <c r="F199" i="3"/>
  <c r="E199" i="3"/>
  <c r="S199" i="3" s="1"/>
  <c r="D199" i="3"/>
  <c r="C199" i="3"/>
  <c r="R199" i="3" s="1"/>
  <c r="B199" i="3"/>
  <c r="Q198" i="3"/>
  <c r="C198" i="3"/>
  <c r="B198" i="3"/>
  <c r="AA197" i="3"/>
  <c r="M197" i="3"/>
  <c r="L197" i="3"/>
  <c r="K197" i="3"/>
  <c r="J197" i="3"/>
  <c r="I197" i="3"/>
  <c r="X197" i="3" s="1"/>
  <c r="H197" i="3"/>
  <c r="G197" i="3"/>
  <c r="U197" i="3" s="1"/>
  <c r="F197" i="3"/>
  <c r="E197" i="3"/>
  <c r="T197" i="3" s="1"/>
  <c r="D197" i="3"/>
  <c r="C197" i="3"/>
  <c r="B197" i="3"/>
  <c r="AA196" i="3"/>
  <c r="U196" i="3"/>
  <c r="M196" i="3"/>
  <c r="L196" i="3"/>
  <c r="Z196" i="3" s="1"/>
  <c r="K196" i="3"/>
  <c r="J196" i="3"/>
  <c r="X196" i="3" s="1"/>
  <c r="I196" i="3"/>
  <c r="H196" i="3"/>
  <c r="W196" i="3" s="1"/>
  <c r="G196" i="3"/>
  <c r="F196" i="3"/>
  <c r="T196" i="3" s="1"/>
  <c r="E196" i="3"/>
  <c r="D196" i="3"/>
  <c r="S196" i="3" s="1"/>
  <c r="C196" i="3"/>
  <c r="B196" i="3"/>
  <c r="Q196" i="3" s="1"/>
  <c r="AA195" i="3"/>
  <c r="T195" i="3"/>
  <c r="M195" i="3"/>
  <c r="L195" i="3"/>
  <c r="K195" i="3"/>
  <c r="Z195" i="3" s="1"/>
  <c r="J195" i="3"/>
  <c r="I195" i="3"/>
  <c r="W195" i="3" s="1"/>
  <c r="H195" i="3"/>
  <c r="G195" i="3"/>
  <c r="V195" i="3" s="1"/>
  <c r="F195" i="3"/>
  <c r="E195" i="3"/>
  <c r="S195" i="3" s="1"/>
  <c r="D195" i="3"/>
  <c r="C195" i="3"/>
  <c r="R195" i="3" s="1"/>
  <c r="B195" i="3"/>
  <c r="AA194" i="3"/>
  <c r="M194" i="3"/>
  <c r="L194" i="3"/>
  <c r="Z194" i="3" s="1"/>
  <c r="K194" i="3"/>
  <c r="J194" i="3"/>
  <c r="Y194" i="3" s="1"/>
  <c r="I194" i="3"/>
  <c r="H194" i="3"/>
  <c r="V194" i="3" s="1"/>
  <c r="G194" i="3"/>
  <c r="F194" i="3"/>
  <c r="U194" i="3" s="1"/>
  <c r="E194" i="3"/>
  <c r="D194" i="3"/>
  <c r="R194" i="3" s="1"/>
  <c r="C194" i="3"/>
  <c r="B194" i="3"/>
  <c r="Q194" i="3" s="1"/>
  <c r="AA193" i="3"/>
  <c r="Z193" i="3"/>
  <c r="R193" i="3"/>
  <c r="M193" i="3"/>
  <c r="L193" i="3"/>
  <c r="K193" i="3"/>
  <c r="Y193" i="3" s="1"/>
  <c r="J193" i="3"/>
  <c r="I193" i="3"/>
  <c r="X193" i="3" s="1"/>
  <c r="H193" i="3"/>
  <c r="G193" i="3"/>
  <c r="U193" i="3" s="1"/>
  <c r="F193" i="3"/>
  <c r="E193" i="3"/>
  <c r="T193" i="3" s="1"/>
  <c r="D193" i="3"/>
  <c r="C193" i="3"/>
  <c r="Q193" i="3" s="1"/>
  <c r="B193" i="3"/>
  <c r="AA192" i="3"/>
  <c r="Y192" i="3"/>
  <c r="M192" i="3"/>
  <c r="L192" i="3"/>
  <c r="Z192" i="3" s="1"/>
  <c r="K192" i="3"/>
  <c r="J192" i="3"/>
  <c r="X192" i="3" s="1"/>
  <c r="I192" i="3"/>
  <c r="H192" i="3"/>
  <c r="W192" i="3" s="1"/>
  <c r="G192" i="3"/>
  <c r="F192" i="3"/>
  <c r="T192" i="3" s="1"/>
  <c r="E192" i="3"/>
  <c r="D192" i="3"/>
  <c r="S192" i="3" s="1"/>
  <c r="C192" i="3"/>
  <c r="B192" i="3"/>
  <c r="Q192" i="3" s="1"/>
  <c r="AA191" i="3"/>
  <c r="X191" i="3"/>
  <c r="M191" i="3"/>
  <c r="L191" i="3"/>
  <c r="K191" i="3"/>
  <c r="Z191" i="3" s="1"/>
  <c r="J191" i="3"/>
  <c r="I191" i="3"/>
  <c r="W191" i="3" s="1"/>
  <c r="H191" i="3"/>
  <c r="G191" i="3"/>
  <c r="V191" i="3" s="1"/>
  <c r="F191" i="3"/>
  <c r="E191" i="3"/>
  <c r="S191" i="3" s="1"/>
  <c r="D191" i="3"/>
  <c r="C191" i="3"/>
  <c r="R191" i="3" s="1"/>
  <c r="B191" i="3"/>
  <c r="AA190" i="3"/>
  <c r="W190" i="3"/>
  <c r="S190" i="3"/>
  <c r="M190" i="3"/>
  <c r="L190" i="3"/>
  <c r="Z190" i="3" s="1"/>
  <c r="K190" i="3"/>
  <c r="J190" i="3"/>
  <c r="Y190" i="3" s="1"/>
  <c r="I190" i="3"/>
  <c r="H190" i="3"/>
  <c r="V190" i="3" s="1"/>
  <c r="G190" i="3"/>
  <c r="F190" i="3"/>
  <c r="U190" i="3" s="1"/>
  <c r="E190" i="3"/>
  <c r="D190" i="3"/>
  <c r="R190" i="3" s="1"/>
  <c r="C190" i="3"/>
  <c r="B190" i="3"/>
  <c r="Q190" i="3" s="1"/>
  <c r="AA189" i="3"/>
  <c r="V189" i="3"/>
  <c r="M189" i="3"/>
  <c r="L189" i="3"/>
  <c r="K189" i="3"/>
  <c r="J189" i="3"/>
  <c r="I189" i="3"/>
  <c r="X189" i="3" s="1"/>
  <c r="H189" i="3"/>
  <c r="G189" i="3"/>
  <c r="U189" i="3" s="1"/>
  <c r="F189" i="3"/>
  <c r="E189" i="3"/>
  <c r="T189" i="3" s="1"/>
  <c r="D189" i="3"/>
  <c r="C189" i="3"/>
  <c r="B189" i="3"/>
  <c r="AA188" i="3"/>
  <c r="U188" i="3"/>
  <c r="M188" i="3"/>
  <c r="L188" i="3"/>
  <c r="Z188" i="3" s="1"/>
  <c r="K188" i="3"/>
  <c r="J188" i="3"/>
  <c r="X188" i="3" s="1"/>
  <c r="I188" i="3"/>
  <c r="H188" i="3"/>
  <c r="W188" i="3" s="1"/>
  <c r="G188" i="3"/>
  <c r="F188" i="3"/>
  <c r="T188" i="3" s="1"/>
  <c r="E188" i="3"/>
  <c r="D188" i="3"/>
  <c r="S188" i="3" s="1"/>
  <c r="C188" i="3"/>
  <c r="B188" i="3"/>
  <c r="Q188" i="3" s="1"/>
  <c r="AA187" i="3"/>
  <c r="T187" i="3"/>
  <c r="M187" i="3"/>
  <c r="L187" i="3"/>
  <c r="K187" i="3"/>
  <c r="Z187" i="3" s="1"/>
  <c r="J187" i="3"/>
  <c r="I187" i="3"/>
  <c r="W187" i="3" s="1"/>
  <c r="H187" i="3"/>
  <c r="G187" i="3"/>
  <c r="V187" i="3" s="1"/>
  <c r="F187" i="3"/>
  <c r="E187" i="3"/>
  <c r="S187" i="3" s="1"/>
  <c r="D187" i="3"/>
  <c r="C187" i="3"/>
  <c r="R187" i="3" s="1"/>
  <c r="B187" i="3"/>
  <c r="AA184" i="3"/>
  <c r="M184" i="3"/>
  <c r="L184" i="3"/>
  <c r="Z184" i="3" s="1"/>
  <c r="K184" i="3"/>
  <c r="J184" i="3"/>
  <c r="Y184" i="3" s="1"/>
  <c r="I184" i="3"/>
  <c r="H184" i="3"/>
  <c r="V184" i="3" s="1"/>
  <c r="G184" i="3"/>
  <c r="F184" i="3"/>
  <c r="U184" i="3" s="1"/>
  <c r="E184" i="3"/>
  <c r="D184" i="3"/>
  <c r="R184" i="3" s="1"/>
  <c r="C184" i="3"/>
  <c r="B184" i="3"/>
  <c r="Q184" i="3" s="1"/>
  <c r="AA183" i="3"/>
  <c r="Z183" i="3"/>
  <c r="R183" i="3"/>
  <c r="M183" i="3"/>
  <c r="L183" i="3"/>
  <c r="K183" i="3"/>
  <c r="Y183" i="3" s="1"/>
  <c r="J183" i="3"/>
  <c r="I183" i="3"/>
  <c r="X183" i="3" s="1"/>
  <c r="H183" i="3"/>
  <c r="G183" i="3"/>
  <c r="U183" i="3" s="1"/>
  <c r="F183" i="3"/>
  <c r="E183" i="3"/>
  <c r="T183" i="3" s="1"/>
  <c r="D183" i="3"/>
  <c r="C183" i="3"/>
  <c r="Q183" i="3" s="1"/>
  <c r="B183" i="3"/>
  <c r="AA182" i="3"/>
  <c r="Y182" i="3"/>
  <c r="M182" i="3"/>
  <c r="L182" i="3"/>
  <c r="Z182" i="3" s="1"/>
  <c r="K182" i="3"/>
  <c r="J182" i="3"/>
  <c r="X182" i="3" s="1"/>
  <c r="I182" i="3"/>
  <c r="H182" i="3"/>
  <c r="W182" i="3" s="1"/>
  <c r="G182" i="3"/>
  <c r="F182" i="3"/>
  <c r="T182" i="3" s="1"/>
  <c r="E182" i="3"/>
  <c r="D182" i="3"/>
  <c r="S182" i="3" s="1"/>
  <c r="C182" i="3"/>
  <c r="B182" i="3"/>
  <c r="Q182" i="3" s="1"/>
  <c r="AA181" i="3"/>
  <c r="X181" i="3"/>
  <c r="M181" i="3"/>
  <c r="L181" i="3"/>
  <c r="K181" i="3"/>
  <c r="Z181" i="3" s="1"/>
  <c r="J181" i="3"/>
  <c r="I181" i="3"/>
  <c r="W181" i="3" s="1"/>
  <c r="H181" i="3"/>
  <c r="G181" i="3"/>
  <c r="V181" i="3" s="1"/>
  <c r="F181" i="3"/>
  <c r="E181" i="3"/>
  <c r="S181" i="3" s="1"/>
  <c r="D181" i="3"/>
  <c r="C181" i="3"/>
  <c r="R181" i="3" s="1"/>
  <c r="B181" i="3"/>
  <c r="AA180" i="3"/>
  <c r="W180" i="3"/>
  <c r="S180" i="3"/>
  <c r="M180" i="3"/>
  <c r="L180" i="3"/>
  <c r="Z180" i="3" s="1"/>
  <c r="K180" i="3"/>
  <c r="J180" i="3"/>
  <c r="Y180" i="3" s="1"/>
  <c r="I180" i="3"/>
  <c r="H180" i="3"/>
  <c r="V180" i="3" s="1"/>
  <c r="G180" i="3"/>
  <c r="F180" i="3"/>
  <c r="U180" i="3" s="1"/>
  <c r="E180" i="3"/>
  <c r="D180" i="3"/>
  <c r="R180" i="3" s="1"/>
  <c r="C180" i="3"/>
  <c r="B180" i="3"/>
  <c r="Q180" i="3" s="1"/>
  <c r="AA179" i="3"/>
  <c r="V179" i="3"/>
  <c r="M179" i="3"/>
  <c r="L179" i="3"/>
  <c r="K179" i="3"/>
  <c r="J179" i="3"/>
  <c r="I179" i="3"/>
  <c r="X179" i="3" s="1"/>
  <c r="H179" i="3"/>
  <c r="G179" i="3"/>
  <c r="U179" i="3" s="1"/>
  <c r="F179" i="3"/>
  <c r="E179" i="3"/>
  <c r="T179" i="3" s="1"/>
  <c r="D179" i="3"/>
  <c r="C179" i="3"/>
  <c r="B179" i="3"/>
  <c r="AA178" i="3"/>
  <c r="U178" i="3"/>
  <c r="M178" i="3"/>
  <c r="L178" i="3"/>
  <c r="Z178" i="3" s="1"/>
  <c r="K178" i="3"/>
  <c r="J178" i="3"/>
  <c r="X178" i="3" s="1"/>
  <c r="I178" i="3"/>
  <c r="H178" i="3"/>
  <c r="W178" i="3" s="1"/>
  <c r="G178" i="3"/>
  <c r="F178" i="3"/>
  <c r="T178" i="3" s="1"/>
  <c r="E178" i="3"/>
  <c r="D178" i="3"/>
  <c r="S178" i="3" s="1"/>
  <c r="C178" i="3"/>
  <c r="B178" i="3"/>
  <c r="Q178" i="3" s="1"/>
  <c r="AA177" i="3"/>
  <c r="T177" i="3"/>
  <c r="M177" i="3"/>
  <c r="L177" i="3"/>
  <c r="K177" i="3"/>
  <c r="Z177" i="3" s="1"/>
  <c r="J177" i="3"/>
  <c r="I177" i="3"/>
  <c r="W177" i="3" s="1"/>
  <c r="H177" i="3"/>
  <c r="G177" i="3"/>
  <c r="V177" i="3" s="1"/>
  <c r="F177" i="3"/>
  <c r="E177" i="3"/>
  <c r="S177" i="3" s="1"/>
  <c r="D177" i="3"/>
  <c r="C177" i="3"/>
  <c r="R177" i="3" s="1"/>
  <c r="B177" i="3"/>
  <c r="Q176" i="3"/>
  <c r="C176" i="3"/>
  <c r="B176" i="3"/>
  <c r="AA175" i="3"/>
  <c r="Z175" i="3"/>
  <c r="R175" i="3"/>
  <c r="M175" i="3"/>
  <c r="L175" i="3"/>
  <c r="K175" i="3"/>
  <c r="Y175" i="3" s="1"/>
  <c r="J175" i="3"/>
  <c r="I175" i="3"/>
  <c r="X175" i="3" s="1"/>
  <c r="H175" i="3"/>
  <c r="G175" i="3"/>
  <c r="U175" i="3" s="1"/>
  <c r="F175" i="3"/>
  <c r="E175" i="3"/>
  <c r="T175" i="3" s="1"/>
  <c r="D175" i="3"/>
  <c r="C175" i="3"/>
  <c r="Q175" i="3" s="1"/>
  <c r="B175" i="3"/>
  <c r="AA174" i="3"/>
  <c r="Y174" i="3"/>
  <c r="M174" i="3"/>
  <c r="L174" i="3"/>
  <c r="Z174" i="3" s="1"/>
  <c r="K174" i="3"/>
  <c r="J174" i="3"/>
  <c r="X174" i="3" s="1"/>
  <c r="I174" i="3"/>
  <c r="H174" i="3"/>
  <c r="W174" i="3" s="1"/>
  <c r="G174" i="3"/>
  <c r="F174" i="3"/>
  <c r="T174" i="3" s="1"/>
  <c r="E174" i="3"/>
  <c r="D174" i="3"/>
  <c r="S174" i="3" s="1"/>
  <c r="C174" i="3"/>
  <c r="B174" i="3"/>
  <c r="Q174" i="3" s="1"/>
  <c r="C173" i="3"/>
  <c r="Q173" i="3" s="1"/>
  <c r="B173" i="3"/>
  <c r="AA172" i="3"/>
  <c r="W172" i="3"/>
  <c r="S172" i="3"/>
  <c r="M172" i="3"/>
  <c r="L172" i="3"/>
  <c r="Z172" i="3" s="1"/>
  <c r="K172" i="3"/>
  <c r="J172" i="3"/>
  <c r="Y172" i="3" s="1"/>
  <c r="I172" i="3"/>
  <c r="H172" i="3"/>
  <c r="V172" i="3" s="1"/>
  <c r="G172" i="3"/>
  <c r="F172" i="3"/>
  <c r="U172" i="3" s="1"/>
  <c r="E172" i="3"/>
  <c r="D172" i="3"/>
  <c r="R172" i="3" s="1"/>
  <c r="C172" i="3"/>
  <c r="B172" i="3"/>
  <c r="Q172" i="3" s="1"/>
  <c r="AA171" i="3"/>
  <c r="R171" i="3"/>
  <c r="M171" i="3"/>
  <c r="L171" i="3"/>
  <c r="K171" i="3"/>
  <c r="Y171" i="3" s="1"/>
  <c r="J171" i="3"/>
  <c r="I171" i="3"/>
  <c r="X171" i="3" s="1"/>
  <c r="H171" i="3"/>
  <c r="G171" i="3"/>
  <c r="U171" i="3" s="1"/>
  <c r="F171" i="3"/>
  <c r="E171" i="3"/>
  <c r="T171" i="3" s="1"/>
  <c r="D171" i="3"/>
  <c r="C171" i="3"/>
  <c r="Q171" i="3" s="1"/>
  <c r="B171" i="3"/>
  <c r="AA170" i="3"/>
  <c r="M170" i="3"/>
  <c r="L170" i="3"/>
  <c r="Z170" i="3" s="1"/>
  <c r="K170" i="3"/>
  <c r="J170" i="3"/>
  <c r="I170" i="3"/>
  <c r="H170" i="3"/>
  <c r="W170" i="3" s="1"/>
  <c r="G170" i="3"/>
  <c r="F170" i="3"/>
  <c r="E170" i="3"/>
  <c r="D170" i="3"/>
  <c r="S170" i="3" s="1"/>
  <c r="C170" i="3"/>
  <c r="B170" i="3"/>
  <c r="Q170" i="3" s="1"/>
  <c r="AA169" i="3"/>
  <c r="M169" i="3"/>
  <c r="L169" i="3"/>
  <c r="K169" i="3"/>
  <c r="Z169" i="3" s="1"/>
  <c r="J169" i="3"/>
  <c r="I169" i="3"/>
  <c r="H169" i="3"/>
  <c r="G169" i="3"/>
  <c r="V169" i="3" s="1"/>
  <c r="F169" i="3"/>
  <c r="E169" i="3"/>
  <c r="D169" i="3"/>
  <c r="C169" i="3"/>
  <c r="R169" i="3" s="1"/>
  <c r="B169" i="3"/>
  <c r="AA168" i="3"/>
  <c r="M168" i="3"/>
  <c r="L168" i="3"/>
  <c r="Z168" i="3" s="1"/>
  <c r="K168" i="3"/>
  <c r="J168" i="3"/>
  <c r="Y168" i="3" s="1"/>
  <c r="I168" i="3"/>
  <c r="H168" i="3"/>
  <c r="G168" i="3"/>
  <c r="F168" i="3"/>
  <c r="U168" i="3" s="1"/>
  <c r="E168" i="3"/>
  <c r="D168" i="3"/>
  <c r="C168" i="3"/>
  <c r="B168" i="3"/>
  <c r="Q168" i="3" s="1"/>
  <c r="AA167" i="3"/>
  <c r="Z167" i="3"/>
  <c r="M167" i="3"/>
  <c r="L167" i="3"/>
  <c r="K167" i="3"/>
  <c r="Y167" i="3" s="1"/>
  <c r="J167" i="3"/>
  <c r="I167" i="3"/>
  <c r="X167" i="3" s="1"/>
  <c r="H167" i="3"/>
  <c r="G167" i="3"/>
  <c r="U167" i="3" s="1"/>
  <c r="F167" i="3"/>
  <c r="E167" i="3"/>
  <c r="T167" i="3" s="1"/>
  <c r="D167" i="3"/>
  <c r="C167" i="3"/>
  <c r="Q167" i="3" s="1"/>
  <c r="B167" i="3"/>
  <c r="AA166" i="3"/>
  <c r="Y166" i="3"/>
  <c r="U166" i="3"/>
  <c r="M166" i="3"/>
  <c r="L166" i="3"/>
  <c r="Z166" i="3" s="1"/>
  <c r="K166" i="3"/>
  <c r="J166" i="3"/>
  <c r="X166" i="3" s="1"/>
  <c r="I166" i="3"/>
  <c r="H166" i="3"/>
  <c r="W166" i="3" s="1"/>
  <c r="G166" i="3"/>
  <c r="F166" i="3"/>
  <c r="T166" i="3" s="1"/>
  <c r="E166" i="3"/>
  <c r="D166" i="3"/>
  <c r="S166" i="3" s="1"/>
  <c r="C166" i="3"/>
  <c r="B166" i="3"/>
  <c r="Q166" i="3" s="1"/>
  <c r="AA165" i="3"/>
  <c r="X165" i="3"/>
  <c r="T165" i="3"/>
  <c r="M165" i="3"/>
  <c r="L165" i="3"/>
  <c r="K165" i="3"/>
  <c r="Z165" i="3" s="1"/>
  <c r="J165" i="3"/>
  <c r="I165" i="3"/>
  <c r="W165" i="3" s="1"/>
  <c r="H165" i="3"/>
  <c r="G165" i="3"/>
  <c r="V165" i="3" s="1"/>
  <c r="F165" i="3"/>
  <c r="E165" i="3"/>
  <c r="S165" i="3" s="1"/>
  <c r="D165" i="3"/>
  <c r="C165" i="3"/>
  <c r="R165" i="3" s="1"/>
  <c r="B165" i="3"/>
  <c r="AA164" i="3"/>
  <c r="W164" i="3"/>
  <c r="S164" i="3"/>
  <c r="M164" i="3"/>
  <c r="L164" i="3"/>
  <c r="Z164" i="3" s="1"/>
  <c r="K164" i="3"/>
  <c r="J164" i="3"/>
  <c r="Y164" i="3" s="1"/>
  <c r="I164" i="3"/>
  <c r="H164" i="3"/>
  <c r="V164" i="3" s="1"/>
  <c r="G164" i="3"/>
  <c r="F164" i="3"/>
  <c r="U164" i="3" s="1"/>
  <c r="E164" i="3"/>
  <c r="D164" i="3"/>
  <c r="R164" i="3" s="1"/>
  <c r="C164" i="3"/>
  <c r="B164" i="3"/>
  <c r="Q164" i="3" s="1"/>
  <c r="AA163" i="3"/>
  <c r="R163" i="3"/>
  <c r="M163" i="3"/>
  <c r="L163" i="3"/>
  <c r="K163" i="3"/>
  <c r="Y163" i="3" s="1"/>
  <c r="J163" i="3"/>
  <c r="I163" i="3"/>
  <c r="X163" i="3" s="1"/>
  <c r="H163" i="3"/>
  <c r="G163" i="3"/>
  <c r="U163" i="3" s="1"/>
  <c r="F163" i="3"/>
  <c r="E163" i="3"/>
  <c r="T163" i="3" s="1"/>
  <c r="D163" i="3"/>
  <c r="C163" i="3"/>
  <c r="Q163" i="3" s="1"/>
  <c r="B163" i="3"/>
  <c r="AA162" i="3"/>
  <c r="M162" i="3"/>
  <c r="L162" i="3"/>
  <c r="Z162" i="3" s="1"/>
  <c r="K162" i="3"/>
  <c r="J162" i="3"/>
  <c r="I162" i="3"/>
  <c r="H162" i="3"/>
  <c r="W162" i="3" s="1"/>
  <c r="G162" i="3"/>
  <c r="F162" i="3"/>
  <c r="E162" i="3"/>
  <c r="D162" i="3"/>
  <c r="S162" i="3" s="1"/>
  <c r="C162" i="3"/>
  <c r="B162" i="3"/>
  <c r="Q162" i="3" s="1"/>
  <c r="M159" i="3"/>
  <c r="L159" i="3"/>
  <c r="K159" i="3"/>
  <c r="J159" i="3"/>
  <c r="I159" i="3"/>
  <c r="H159" i="3"/>
  <c r="G159" i="3"/>
  <c r="F159" i="3"/>
  <c r="E159" i="3"/>
  <c r="D159" i="3"/>
  <c r="C159" i="3"/>
  <c r="B159" i="3"/>
  <c r="M158" i="3"/>
  <c r="L158" i="3"/>
  <c r="K158" i="3"/>
  <c r="J158" i="3"/>
  <c r="I158" i="3"/>
  <c r="H158" i="3"/>
  <c r="G158" i="3"/>
  <c r="F158" i="3"/>
  <c r="E158" i="3"/>
  <c r="D158" i="3"/>
  <c r="C158" i="3"/>
  <c r="B158" i="3"/>
  <c r="M157" i="3"/>
  <c r="L157" i="3"/>
  <c r="K157" i="3"/>
  <c r="J157" i="3"/>
  <c r="I157" i="3"/>
  <c r="H157" i="3"/>
  <c r="G157" i="3"/>
  <c r="F157" i="3"/>
  <c r="E157" i="3"/>
  <c r="D157" i="3"/>
  <c r="C157" i="3"/>
  <c r="B157" i="3"/>
  <c r="M156" i="3"/>
  <c r="L156" i="3"/>
  <c r="K156" i="3"/>
  <c r="J156" i="3"/>
  <c r="I156" i="3"/>
  <c r="H156" i="3"/>
  <c r="G156" i="3"/>
  <c r="F156" i="3"/>
  <c r="E156" i="3"/>
  <c r="D156" i="3"/>
  <c r="C156" i="3"/>
  <c r="B156" i="3"/>
  <c r="M155" i="3"/>
  <c r="L155" i="3"/>
  <c r="K155" i="3"/>
  <c r="J155" i="3"/>
  <c r="I155" i="3"/>
  <c r="H155" i="3"/>
  <c r="G155" i="3"/>
  <c r="F155" i="3"/>
  <c r="E155" i="3"/>
  <c r="D155" i="3"/>
  <c r="C155" i="3"/>
  <c r="B155" i="3"/>
  <c r="M154" i="3"/>
  <c r="L154" i="3"/>
  <c r="K154" i="3"/>
  <c r="J154" i="3"/>
  <c r="I154" i="3"/>
  <c r="H154" i="3"/>
  <c r="G154" i="3"/>
  <c r="F154" i="3"/>
  <c r="E154" i="3"/>
  <c r="D154" i="3"/>
  <c r="C154" i="3"/>
  <c r="B154" i="3"/>
  <c r="M153" i="3"/>
  <c r="L153" i="3"/>
  <c r="K153" i="3"/>
  <c r="J153" i="3"/>
  <c r="I153" i="3"/>
  <c r="H153" i="3"/>
  <c r="G153" i="3"/>
  <c r="F153" i="3"/>
  <c r="E153" i="3"/>
  <c r="D153" i="3"/>
  <c r="C153" i="3"/>
  <c r="B153" i="3"/>
  <c r="M152" i="3"/>
  <c r="L152" i="3"/>
  <c r="K152" i="3"/>
  <c r="J152" i="3"/>
  <c r="I152" i="3"/>
  <c r="H152" i="3"/>
  <c r="G152" i="3"/>
  <c r="F152" i="3"/>
  <c r="E152" i="3"/>
  <c r="D152" i="3"/>
  <c r="C152" i="3"/>
  <c r="B152" i="3"/>
  <c r="C151" i="3"/>
  <c r="B151" i="3"/>
  <c r="M150" i="3"/>
  <c r="L150" i="3"/>
  <c r="K150" i="3"/>
  <c r="J150" i="3"/>
  <c r="I150" i="3"/>
  <c r="H150" i="3"/>
  <c r="G150" i="3"/>
  <c r="F150" i="3"/>
  <c r="E150" i="3"/>
  <c r="D150" i="3"/>
  <c r="C150" i="3"/>
  <c r="M149" i="3"/>
  <c r="L149" i="3"/>
  <c r="K149" i="3"/>
  <c r="J149" i="3"/>
  <c r="I149" i="3"/>
  <c r="H149" i="3"/>
  <c r="G149" i="3"/>
  <c r="F149" i="3"/>
  <c r="E149" i="3"/>
  <c r="D149" i="3"/>
  <c r="C149" i="3"/>
  <c r="B149" i="3"/>
  <c r="C148" i="3"/>
  <c r="B148" i="3"/>
  <c r="B150" i="3" s="1"/>
  <c r="M147" i="3"/>
  <c r="L147" i="3"/>
  <c r="K147" i="3"/>
  <c r="J147" i="3"/>
  <c r="I147" i="3"/>
  <c r="H147" i="3"/>
  <c r="G147" i="3"/>
  <c r="F147" i="3"/>
  <c r="E147" i="3"/>
  <c r="D147" i="3"/>
  <c r="C147" i="3"/>
  <c r="B147" i="3"/>
  <c r="M146" i="3"/>
  <c r="L146" i="3"/>
  <c r="K146" i="3"/>
  <c r="J146" i="3"/>
  <c r="I146" i="3"/>
  <c r="H146" i="3"/>
  <c r="G146" i="3"/>
  <c r="F146" i="3"/>
  <c r="E146" i="3"/>
  <c r="D146" i="3"/>
  <c r="C146" i="3"/>
  <c r="B146" i="3"/>
  <c r="M145" i="3"/>
  <c r="L145" i="3"/>
  <c r="K145" i="3"/>
  <c r="J145" i="3"/>
  <c r="I145" i="3"/>
  <c r="H145" i="3"/>
  <c r="G145" i="3"/>
  <c r="F145" i="3"/>
  <c r="E145" i="3"/>
  <c r="D145" i="3"/>
  <c r="C145" i="3"/>
  <c r="B145" i="3"/>
  <c r="M144" i="3"/>
  <c r="L144" i="3"/>
  <c r="K144" i="3"/>
  <c r="J144" i="3"/>
  <c r="I144" i="3"/>
  <c r="H144" i="3"/>
  <c r="G144" i="3"/>
  <c r="F144" i="3"/>
  <c r="E144" i="3"/>
  <c r="D144" i="3"/>
  <c r="C144" i="3"/>
  <c r="B144" i="3"/>
  <c r="M143" i="3"/>
  <c r="L143" i="3"/>
  <c r="K143" i="3"/>
  <c r="J143" i="3"/>
  <c r="I143" i="3"/>
  <c r="H143" i="3"/>
  <c r="G143" i="3"/>
  <c r="F143" i="3"/>
  <c r="E143" i="3"/>
  <c r="D143" i="3"/>
  <c r="C143" i="3"/>
  <c r="B143" i="3"/>
  <c r="M142" i="3"/>
  <c r="L142" i="3"/>
  <c r="K142" i="3"/>
  <c r="J142" i="3"/>
  <c r="I142" i="3"/>
  <c r="H142" i="3"/>
  <c r="G142" i="3"/>
  <c r="F142" i="3"/>
  <c r="E142" i="3"/>
  <c r="D142" i="3"/>
  <c r="C142" i="3"/>
  <c r="B142" i="3"/>
  <c r="M141" i="3"/>
  <c r="L141" i="3"/>
  <c r="K141" i="3"/>
  <c r="J141" i="3"/>
  <c r="I141" i="3"/>
  <c r="H141" i="3"/>
  <c r="G141" i="3"/>
  <c r="F141" i="3"/>
  <c r="E141" i="3"/>
  <c r="D141" i="3"/>
  <c r="C141" i="3"/>
  <c r="B141" i="3"/>
  <c r="M140" i="3"/>
  <c r="L140" i="3"/>
  <c r="K140" i="3"/>
  <c r="J140" i="3"/>
  <c r="I140" i="3"/>
  <c r="H140" i="3"/>
  <c r="G140" i="3"/>
  <c r="F140" i="3"/>
  <c r="E140" i="3"/>
  <c r="D140" i="3"/>
  <c r="C140" i="3"/>
  <c r="B140" i="3"/>
  <c r="M139" i="3"/>
  <c r="L139" i="3"/>
  <c r="K139" i="3"/>
  <c r="J139" i="3"/>
  <c r="I139" i="3"/>
  <c r="H139" i="3"/>
  <c r="G139" i="3"/>
  <c r="F139" i="3"/>
  <c r="E139" i="3"/>
  <c r="D139" i="3"/>
  <c r="C139" i="3"/>
  <c r="B139" i="3"/>
  <c r="M138" i="3"/>
  <c r="L138" i="3"/>
  <c r="K138" i="3"/>
  <c r="J138" i="3"/>
  <c r="I138" i="3"/>
  <c r="H138" i="3"/>
  <c r="G138" i="3"/>
  <c r="F138" i="3"/>
  <c r="E138" i="3"/>
  <c r="D138" i="3"/>
  <c r="C138" i="3"/>
  <c r="B138" i="3"/>
  <c r="M137" i="3"/>
  <c r="L137" i="3"/>
  <c r="K137" i="3"/>
  <c r="J137" i="3"/>
  <c r="I137" i="3"/>
  <c r="H137" i="3"/>
  <c r="G137" i="3"/>
  <c r="F137" i="3"/>
  <c r="E137" i="3"/>
  <c r="D137" i="3"/>
  <c r="C137" i="3"/>
  <c r="B137" i="3"/>
  <c r="M134" i="3"/>
  <c r="M269" i="3" s="1"/>
  <c r="L134" i="3"/>
  <c r="K134" i="3"/>
  <c r="K269" i="3" s="1"/>
  <c r="J134" i="3"/>
  <c r="J269" i="3" s="1"/>
  <c r="I134" i="3"/>
  <c r="I269" i="3" s="1"/>
  <c r="H134" i="3"/>
  <c r="H269" i="3" s="1"/>
  <c r="G134" i="3"/>
  <c r="G269" i="3" s="1"/>
  <c r="F134" i="3"/>
  <c r="F109" i="3" s="1"/>
  <c r="T109" i="3" s="1"/>
  <c r="E134" i="3"/>
  <c r="E269" i="3" s="1"/>
  <c r="D134" i="3"/>
  <c r="D269" i="3" s="1"/>
  <c r="C134" i="3"/>
  <c r="C269" i="3" s="1"/>
  <c r="B134" i="3"/>
  <c r="M133" i="3"/>
  <c r="L133" i="3"/>
  <c r="K133" i="3"/>
  <c r="J133" i="3"/>
  <c r="I133" i="3"/>
  <c r="H133" i="3"/>
  <c r="G133" i="3"/>
  <c r="F133" i="3"/>
  <c r="E133" i="3"/>
  <c r="D133" i="3"/>
  <c r="C133" i="3"/>
  <c r="B133" i="3"/>
  <c r="M132" i="3"/>
  <c r="L132" i="3"/>
  <c r="K132" i="3"/>
  <c r="J132" i="3"/>
  <c r="I132" i="3"/>
  <c r="H132" i="3"/>
  <c r="G132" i="3"/>
  <c r="F132" i="3"/>
  <c r="F107" i="3" s="1"/>
  <c r="T107" i="3" s="1"/>
  <c r="E132" i="3"/>
  <c r="D132" i="3"/>
  <c r="C132" i="3"/>
  <c r="B132" i="3"/>
  <c r="M131" i="3"/>
  <c r="L131" i="3"/>
  <c r="K131" i="3"/>
  <c r="J131" i="3"/>
  <c r="J106" i="3" s="1"/>
  <c r="X106" i="3" s="1"/>
  <c r="I131" i="3"/>
  <c r="H131" i="3"/>
  <c r="G131" i="3"/>
  <c r="F131" i="3"/>
  <c r="E131" i="3"/>
  <c r="D131" i="3"/>
  <c r="C131" i="3"/>
  <c r="B131" i="3"/>
  <c r="B106" i="3" s="1"/>
  <c r="P106" i="3" s="1"/>
  <c r="M130" i="3"/>
  <c r="L130" i="3"/>
  <c r="K130" i="3"/>
  <c r="J130" i="3"/>
  <c r="I130" i="3"/>
  <c r="H130" i="3"/>
  <c r="G130" i="3"/>
  <c r="F130" i="3"/>
  <c r="E130" i="3"/>
  <c r="D130" i="3"/>
  <c r="C130" i="3"/>
  <c r="B130" i="3"/>
  <c r="M129" i="3"/>
  <c r="L129" i="3"/>
  <c r="K129" i="3"/>
  <c r="J129" i="3"/>
  <c r="I129" i="3"/>
  <c r="H129" i="3"/>
  <c r="G129" i="3"/>
  <c r="F129" i="3"/>
  <c r="E129" i="3"/>
  <c r="D129" i="3"/>
  <c r="C129" i="3"/>
  <c r="B129" i="3"/>
  <c r="M128" i="3"/>
  <c r="L128" i="3"/>
  <c r="K128" i="3"/>
  <c r="J128" i="3"/>
  <c r="I128" i="3"/>
  <c r="H128" i="3"/>
  <c r="G128" i="3"/>
  <c r="F128" i="3"/>
  <c r="F103" i="3" s="1"/>
  <c r="T103" i="3" s="1"/>
  <c r="E128" i="3"/>
  <c r="D128" i="3"/>
  <c r="C128" i="3"/>
  <c r="B128" i="3"/>
  <c r="M127" i="3"/>
  <c r="L127" i="3"/>
  <c r="K127" i="3"/>
  <c r="J127" i="3"/>
  <c r="J102" i="3" s="1"/>
  <c r="X102" i="3" s="1"/>
  <c r="I127" i="3"/>
  <c r="H127" i="3"/>
  <c r="G127" i="3"/>
  <c r="F127" i="3"/>
  <c r="E127" i="3"/>
  <c r="D127" i="3"/>
  <c r="C127" i="3"/>
  <c r="B127" i="3"/>
  <c r="B102" i="3" s="1"/>
  <c r="P102" i="3" s="1"/>
  <c r="C126" i="3"/>
  <c r="B126" i="3"/>
  <c r="M125" i="3"/>
  <c r="L125" i="3"/>
  <c r="K125" i="3"/>
  <c r="J125" i="3"/>
  <c r="I125" i="3"/>
  <c r="H125" i="3"/>
  <c r="G125" i="3"/>
  <c r="F125" i="3"/>
  <c r="E125" i="3"/>
  <c r="D125" i="3"/>
  <c r="M124" i="3"/>
  <c r="L124" i="3"/>
  <c r="K124" i="3"/>
  <c r="J124" i="3"/>
  <c r="I124" i="3"/>
  <c r="H124" i="3"/>
  <c r="G124" i="3"/>
  <c r="F124" i="3"/>
  <c r="E124" i="3"/>
  <c r="D124" i="3"/>
  <c r="C124" i="3"/>
  <c r="B124" i="3"/>
  <c r="C123" i="3"/>
  <c r="C125" i="3" s="1"/>
  <c r="B123" i="3"/>
  <c r="B125" i="3" s="1"/>
  <c r="M122" i="3"/>
  <c r="L122" i="3"/>
  <c r="K122" i="3"/>
  <c r="J122" i="3"/>
  <c r="J97" i="3" s="1"/>
  <c r="X97" i="3" s="1"/>
  <c r="I122" i="3"/>
  <c r="H122" i="3"/>
  <c r="G122" i="3"/>
  <c r="F122" i="3"/>
  <c r="F97" i="3" s="1"/>
  <c r="T97" i="3" s="1"/>
  <c r="E122" i="3"/>
  <c r="D122" i="3"/>
  <c r="C122" i="3"/>
  <c r="B122" i="3"/>
  <c r="B97" i="3" s="1"/>
  <c r="P97" i="3" s="1"/>
  <c r="M121" i="3"/>
  <c r="L121" i="3"/>
  <c r="K121" i="3"/>
  <c r="J121" i="3"/>
  <c r="J96" i="3" s="1"/>
  <c r="X96" i="3" s="1"/>
  <c r="I121" i="3"/>
  <c r="H121" i="3"/>
  <c r="G121" i="3"/>
  <c r="F121" i="3"/>
  <c r="F96" i="3" s="1"/>
  <c r="T96" i="3" s="1"/>
  <c r="E121" i="3"/>
  <c r="D121" i="3"/>
  <c r="C121" i="3"/>
  <c r="B121" i="3"/>
  <c r="B96" i="3" s="1"/>
  <c r="P96" i="3" s="1"/>
  <c r="M120" i="3"/>
  <c r="L120" i="3"/>
  <c r="K120" i="3"/>
  <c r="J120" i="3"/>
  <c r="I120" i="3"/>
  <c r="H120" i="3"/>
  <c r="G120" i="3"/>
  <c r="F120" i="3"/>
  <c r="E120" i="3"/>
  <c r="D120" i="3"/>
  <c r="C120" i="3"/>
  <c r="B120" i="3"/>
  <c r="M119" i="3"/>
  <c r="L119" i="3"/>
  <c r="K119" i="3"/>
  <c r="J119" i="3"/>
  <c r="I119" i="3"/>
  <c r="H119" i="3"/>
  <c r="G119" i="3"/>
  <c r="F119" i="3"/>
  <c r="E119" i="3"/>
  <c r="D119" i="3"/>
  <c r="C119" i="3"/>
  <c r="B119" i="3"/>
  <c r="M118" i="3"/>
  <c r="L118" i="3"/>
  <c r="AG43" i="3" s="1"/>
  <c r="K118" i="3"/>
  <c r="J118" i="3"/>
  <c r="J93" i="3" s="1"/>
  <c r="X93" i="3" s="1"/>
  <c r="I118" i="3"/>
  <c r="H118" i="3"/>
  <c r="G118" i="3"/>
  <c r="F118" i="3"/>
  <c r="E118" i="3"/>
  <c r="D118" i="3"/>
  <c r="C118" i="3"/>
  <c r="B118" i="3"/>
  <c r="M117" i="3"/>
  <c r="L117" i="3"/>
  <c r="AH42" i="3" s="1"/>
  <c r="K117" i="3"/>
  <c r="J117" i="3"/>
  <c r="J92" i="3" s="1"/>
  <c r="X92" i="3" s="1"/>
  <c r="I117" i="3"/>
  <c r="H117" i="3"/>
  <c r="G117" i="3"/>
  <c r="F117" i="3"/>
  <c r="F92" i="3" s="1"/>
  <c r="T92" i="3" s="1"/>
  <c r="E117" i="3"/>
  <c r="D117" i="3"/>
  <c r="C117" i="3"/>
  <c r="B117" i="3"/>
  <c r="B92" i="3" s="1"/>
  <c r="P92" i="3" s="1"/>
  <c r="M116" i="3"/>
  <c r="L116" i="3"/>
  <c r="K116" i="3"/>
  <c r="J116" i="3"/>
  <c r="I116" i="3"/>
  <c r="H116" i="3"/>
  <c r="G116" i="3"/>
  <c r="F116" i="3"/>
  <c r="E116" i="3"/>
  <c r="D116" i="3"/>
  <c r="C116" i="3"/>
  <c r="B116" i="3"/>
  <c r="M115" i="3"/>
  <c r="L115" i="3"/>
  <c r="K115" i="3"/>
  <c r="J115" i="3"/>
  <c r="I115" i="3"/>
  <c r="H115" i="3"/>
  <c r="G115" i="3"/>
  <c r="F115" i="3"/>
  <c r="E115" i="3"/>
  <c r="D115" i="3"/>
  <c r="C115" i="3"/>
  <c r="B115" i="3"/>
  <c r="M114" i="3"/>
  <c r="L114" i="3"/>
  <c r="AG39" i="3" s="1"/>
  <c r="K114" i="3"/>
  <c r="J114" i="3"/>
  <c r="I114" i="3"/>
  <c r="H114" i="3"/>
  <c r="G114" i="3"/>
  <c r="F114" i="3"/>
  <c r="E114" i="3"/>
  <c r="D114" i="3"/>
  <c r="C114" i="3"/>
  <c r="B114" i="3"/>
  <c r="M113" i="3"/>
  <c r="L113" i="3"/>
  <c r="AH38" i="3" s="1"/>
  <c r="K113" i="3"/>
  <c r="J113" i="3"/>
  <c r="J88" i="3" s="1"/>
  <c r="X88" i="3" s="1"/>
  <c r="I113" i="3"/>
  <c r="H113" i="3"/>
  <c r="G113" i="3"/>
  <c r="F113" i="3"/>
  <c r="F88" i="3" s="1"/>
  <c r="T88" i="3" s="1"/>
  <c r="E113" i="3"/>
  <c r="D113" i="3"/>
  <c r="C113" i="3"/>
  <c r="B113" i="3"/>
  <c r="B88" i="3" s="1"/>
  <c r="P88" i="3" s="1"/>
  <c r="M112" i="3"/>
  <c r="L112" i="3"/>
  <c r="K112" i="3"/>
  <c r="J112" i="3"/>
  <c r="I112" i="3"/>
  <c r="H112" i="3"/>
  <c r="G112" i="3"/>
  <c r="F112" i="3"/>
  <c r="E112" i="3"/>
  <c r="D112" i="3"/>
  <c r="C112" i="3"/>
  <c r="B112" i="3"/>
  <c r="M109" i="3"/>
  <c r="AA109" i="3" s="1"/>
  <c r="L109" i="3"/>
  <c r="Z109" i="3" s="1"/>
  <c r="K109" i="3"/>
  <c r="Y109" i="3" s="1"/>
  <c r="H109" i="3"/>
  <c r="V109" i="3" s="1"/>
  <c r="Z108" i="3"/>
  <c r="M108" i="3"/>
  <c r="AA108" i="3" s="1"/>
  <c r="L108" i="3"/>
  <c r="K108" i="3"/>
  <c r="Y108" i="3" s="1"/>
  <c r="M107" i="3"/>
  <c r="AA107" i="3" s="1"/>
  <c r="L107" i="3"/>
  <c r="Z107" i="3" s="1"/>
  <c r="K107" i="3"/>
  <c r="Y107" i="3" s="1"/>
  <c r="Z106" i="3"/>
  <c r="M106" i="3"/>
  <c r="AA106" i="3" s="1"/>
  <c r="L106" i="3"/>
  <c r="K106" i="3"/>
  <c r="Y106" i="3" s="1"/>
  <c r="F106" i="3"/>
  <c r="T106" i="3" s="1"/>
  <c r="M105" i="3"/>
  <c r="AA105" i="3" s="1"/>
  <c r="L105" i="3"/>
  <c r="Z105" i="3" s="1"/>
  <c r="K105" i="3"/>
  <c r="Y105" i="3" s="1"/>
  <c r="Z104" i="3"/>
  <c r="M104" i="3"/>
  <c r="AA104" i="3" s="1"/>
  <c r="L104" i="3"/>
  <c r="K104" i="3"/>
  <c r="Y104" i="3" s="1"/>
  <c r="M103" i="3"/>
  <c r="AA103" i="3" s="1"/>
  <c r="L103" i="3"/>
  <c r="Z103" i="3" s="1"/>
  <c r="K103" i="3"/>
  <c r="Y103" i="3" s="1"/>
  <c r="Z102" i="3"/>
  <c r="M102" i="3"/>
  <c r="AA102" i="3" s="1"/>
  <c r="L102" i="3"/>
  <c r="K102" i="3"/>
  <c r="Y102" i="3" s="1"/>
  <c r="F102" i="3"/>
  <c r="T102" i="3" s="1"/>
  <c r="B101" i="3"/>
  <c r="P101" i="3" s="1"/>
  <c r="R100" i="3"/>
  <c r="M100" i="3"/>
  <c r="AA100" i="3" s="1"/>
  <c r="L100" i="3"/>
  <c r="Z100" i="3" s="1"/>
  <c r="K100" i="3"/>
  <c r="Y100" i="3" s="1"/>
  <c r="H100" i="3"/>
  <c r="V100" i="3" s="1"/>
  <c r="M99" i="3"/>
  <c r="AA99" i="3" s="1"/>
  <c r="L99" i="3"/>
  <c r="Z99" i="3" s="1"/>
  <c r="K99" i="3"/>
  <c r="Y99" i="3" s="1"/>
  <c r="V97" i="3"/>
  <c r="M97" i="3"/>
  <c r="AA97" i="3" s="1"/>
  <c r="L97" i="3"/>
  <c r="Z97" i="3" s="1"/>
  <c r="K97" i="3"/>
  <c r="Y97" i="3" s="1"/>
  <c r="M96" i="3"/>
  <c r="AA96" i="3" s="1"/>
  <c r="L96" i="3"/>
  <c r="Z96" i="3" s="1"/>
  <c r="K96" i="3"/>
  <c r="Y96" i="3" s="1"/>
  <c r="M95" i="3"/>
  <c r="AA95" i="3" s="1"/>
  <c r="L95" i="3"/>
  <c r="Z95" i="3" s="1"/>
  <c r="K95" i="3"/>
  <c r="Y95" i="3" s="1"/>
  <c r="D95" i="3"/>
  <c r="R95" i="3" s="1"/>
  <c r="M94" i="3"/>
  <c r="AA94" i="3" s="1"/>
  <c r="L94" i="3"/>
  <c r="Z94" i="3" s="1"/>
  <c r="K94" i="3"/>
  <c r="Y94" i="3" s="1"/>
  <c r="M93" i="3"/>
  <c r="AA93" i="3" s="1"/>
  <c r="L93" i="3"/>
  <c r="Z93" i="3" s="1"/>
  <c r="K93" i="3"/>
  <c r="Y93" i="3" s="1"/>
  <c r="M92" i="3"/>
  <c r="AA92" i="3" s="1"/>
  <c r="L92" i="3"/>
  <c r="Z92" i="3" s="1"/>
  <c r="K92" i="3"/>
  <c r="Y92" i="3" s="1"/>
  <c r="M91" i="3"/>
  <c r="AA91" i="3" s="1"/>
  <c r="L91" i="3"/>
  <c r="Z91" i="3" s="1"/>
  <c r="K91" i="3"/>
  <c r="Y91" i="3" s="1"/>
  <c r="M90" i="3"/>
  <c r="AA90" i="3" s="1"/>
  <c r="L90" i="3"/>
  <c r="Z90" i="3" s="1"/>
  <c r="K90" i="3"/>
  <c r="Y90" i="3" s="1"/>
  <c r="M89" i="3"/>
  <c r="AA89" i="3" s="1"/>
  <c r="L89" i="3"/>
  <c r="Z89" i="3" s="1"/>
  <c r="K89" i="3"/>
  <c r="Y89" i="3" s="1"/>
  <c r="M88" i="3"/>
  <c r="AA88" i="3" s="1"/>
  <c r="L88" i="3"/>
  <c r="Z88" i="3" s="1"/>
  <c r="K88" i="3"/>
  <c r="Y88" i="3" s="1"/>
  <c r="M87" i="3"/>
  <c r="AA87" i="3" s="1"/>
  <c r="L87" i="3"/>
  <c r="Z87" i="3" s="1"/>
  <c r="K87" i="3"/>
  <c r="Y87" i="3" s="1"/>
  <c r="V84" i="3"/>
  <c r="M84" i="3"/>
  <c r="AA84" i="3" s="1"/>
  <c r="L84" i="3"/>
  <c r="Z84" i="3" s="1"/>
  <c r="K84" i="3"/>
  <c r="Y84" i="3" s="1"/>
  <c r="J84" i="3"/>
  <c r="X84" i="3" s="1"/>
  <c r="I84" i="3"/>
  <c r="H84" i="3"/>
  <c r="G84" i="3"/>
  <c r="G109" i="3" s="1"/>
  <c r="U109" i="3" s="1"/>
  <c r="F84" i="3"/>
  <c r="T84" i="3" s="1"/>
  <c r="E84" i="3"/>
  <c r="D84" i="3"/>
  <c r="D109" i="3" s="1"/>
  <c r="R109" i="3" s="1"/>
  <c r="C84" i="3"/>
  <c r="C109" i="3" s="1"/>
  <c r="Q109" i="3" s="1"/>
  <c r="B84" i="3"/>
  <c r="P84" i="3" s="1"/>
  <c r="R83" i="3"/>
  <c r="M83" i="3"/>
  <c r="AA83" i="3" s="1"/>
  <c r="L83" i="3"/>
  <c r="Z83" i="3" s="1"/>
  <c r="K83" i="3"/>
  <c r="Y83" i="3" s="1"/>
  <c r="J83" i="3"/>
  <c r="X83" i="3" s="1"/>
  <c r="I83" i="3"/>
  <c r="H83" i="3"/>
  <c r="H108" i="3" s="1"/>
  <c r="V108" i="3" s="1"/>
  <c r="G83" i="3"/>
  <c r="F83" i="3"/>
  <c r="T83" i="3" s="1"/>
  <c r="E83" i="3"/>
  <c r="D83" i="3"/>
  <c r="D108" i="3" s="1"/>
  <c r="R108" i="3" s="1"/>
  <c r="C83" i="3"/>
  <c r="B83" i="3"/>
  <c r="P83" i="3" s="1"/>
  <c r="V82" i="3"/>
  <c r="R82" i="3"/>
  <c r="M82" i="3"/>
  <c r="AA82" i="3" s="1"/>
  <c r="L82" i="3"/>
  <c r="Z82" i="3" s="1"/>
  <c r="K82" i="3"/>
  <c r="Y82" i="3" s="1"/>
  <c r="J82" i="3"/>
  <c r="X82" i="3" s="1"/>
  <c r="I82" i="3"/>
  <c r="I107" i="3" s="1"/>
  <c r="W107" i="3" s="1"/>
  <c r="H82" i="3"/>
  <c r="H107" i="3" s="1"/>
  <c r="V107" i="3" s="1"/>
  <c r="G82" i="3"/>
  <c r="F82" i="3"/>
  <c r="T82" i="3" s="1"/>
  <c r="E82" i="3"/>
  <c r="E107" i="3" s="1"/>
  <c r="S107" i="3" s="1"/>
  <c r="D82" i="3"/>
  <c r="D107" i="3" s="1"/>
  <c r="R107" i="3" s="1"/>
  <c r="C82" i="3"/>
  <c r="B82" i="3"/>
  <c r="P82" i="3" s="1"/>
  <c r="M81" i="3"/>
  <c r="AA81" i="3" s="1"/>
  <c r="L81" i="3"/>
  <c r="Z81" i="3" s="1"/>
  <c r="K81" i="3"/>
  <c r="Y81" i="3" s="1"/>
  <c r="J81" i="3"/>
  <c r="X81" i="3" s="1"/>
  <c r="I81" i="3"/>
  <c r="H81" i="3"/>
  <c r="G81" i="3"/>
  <c r="F81" i="3"/>
  <c r="T81" i="3" s="1"/>
  <c r="E81" i="3"/>
  <c r="D81" i="3"/>
  <c r="C81" i="3"/>
  <c r="B81" i="3"/>
  <c r="P81" i="3" s="1"/>
  <c r="V80" i="3"/>
  <c r="M80" i="3"/>
  <c r="AA80" i="3" s="1"/>
  <c r="L80" i="3"/>
  <c r="Z80" i="3" s="1"/>
  <c r="K80" i="3"/>
  <c r="Y80" i="3" s="1"/>
  <c r="J80" i="3"/>
  <c r="X80" i="3" s="1"/>
  <c r="I80" i="3"/>
  <c r="H80" i="3"/>
  <c r="H105" i="3" s="1"/>
  <c r="V105" i="3" s="1"/>
  <c r="G80" i="3"/>
  <c r="G105" i="3" s="1"/>
  <c r="U105" i="3" s="1"/>
  <c r="F80" i="3"/>
  <c r="T80" i="3" s="1"/>
  <c r="E80" i="3"/>
  <c r="D80" i="3"/>
  <c r="D105" i="3" s="1"/>
  <c r="R105" i="3" s="1"/>
  <c r="C80" i="3"/>
  <c r="C105" i="3" s="1"/>
  <c r="Q105" i="3" s="1"/>
  <c r="B80" i="3"/>
  <c r="P80" i="3" s="1"/>
  <c r="R79" i="3"/>
  <c r="M79" i="3"/>
  <c r="AA79" i="3" s="1"/>
  <c r="L79" i="3"/>
  <c r="Z79" i="3" s="1"/>
  <c r="K79" i="3"/>
  <c r="Y79" i="3" s="1"/>
  <c r="J79" i="3"/>
  <c r="X79" i="3" s="1"/>
  <c r="I79" i="3"/>
  <c r="H79" i="3"/>
  <c r="H104" i="3" s="1"/>
  <c r="V104" i="3" s="1"/>
  <c r="G79" i="3"/>
  <c r="F79" i="3"/>
  <c r="T79" i="3" s="1"/>
  <c r="E79" i="3"/>
  <c r="D79" i="3"/>
  <c r="D104" i="3" s="1"/>
  <c r="R104" i="3" s="1"/>
  <c r="C79" i="3"/>
  <c r="B79" i="3"/>
  <c r="P79" i="3" s="1"/>
  <c r="V78" i="3"/>
  <c r="R78" i="3"/>
  <c r="M78" i="3"/>
  <c r="AA78" i="3" s="1"/>
  <c r="L78" i="3"/>
  <c r="Z78" i="3" s="1"/>
  <c r="K78" i="3"/>
  <c r="Y78" i="3" s="1"/>
  <c r="J78" i="3"/>
  <c r="X78" i="3" s="1"/>
  <c r="I78" i="3"/>
  <c r="I103" i="3" s="1"/>
  <c r="W103" i="3" s="1"/>
  <c r="H78" i="3"/>
  <c r="G78" i="3"/>
  <c r="F78" i="3"/>
  <c r="T78" i="3" s="1"/>
  <c r="E78" i="3"/>
  <c r="E103" i="3" s="1"/>
  <c r="S103" i="3" s="1"/>
  <c r="D78" i="3"/>
  <c r="C78" i="3"/>
  <c r="B78" i="3"/>
  <c r="P78" i="3" s="1"/>
  <c r="M77" i="3"/>
  <c r="AA77" i="3" s="1"/>
  <c r="L77" i="3"/>
  <c r="Z77" i="3" s="1"/>
  <c r="K77" i="3"/>
  <c r="Y77" i="3" s="1"/>
  <c r="J77" i="3"/>
  <c r="X77" i="3" s="1"/>
  <c r="I77" i="3"/>
  <c r="H77" i="3"/>
  <c r="G77" i="3"/>
  <c r="F77" i="3"/>
  <c r="T77" i="3" s="1"/>
  <c r="E77" i="3"/>
  <c r="D77" i="3"/>
  <c r="C77" i="3"/>
  <c r="B77" i="3"/>
  <c r="P77" i="3" s="1"/>
  <c r="Q76" i="3"/>
  <c r="P76" i="3"/>
  <c r="C76" i="3"/>
  <c r="B76" i="3"/>
  <c r="V75" i="3"/>
  <c r="M75" i="3"/>
  <c r="AA75" i="3" s="1"/>
  <c r="L75" i="3"/>
  <c r="Z75" i="3" s="1"/>
  <c r="K75" i="3"/>
  <c r="Y75" i="3" s="1"/>
  <c r="J75" i="3"/>
  <c r="I75" i="3"/>
  <c r="H75" i="3"/>
  <c r="G75" i="3"/>
  <c r="G100" i="3" s="1"/>
  <c r="U100" i="3" s="1"/>
  <c r="F75" i="3"/>
  <c r="E75" i="3"/>
  <c r="D75" i="3"/>
  <c r="D100" i="3" s="1"/>
  <c r="M74" i="3"/>
  <c r="AA74" i="3" s="1"/>
  <c r="L74" i="3"/>
  <c r="Z74" i="3" s="1"/>
  <c r="K74" i="3"/>
  <c r="Y74" i="3" s="1"/>
  <c r="J74" i="3"/>
  <c r="I74" i="3"/>
  <c r="I99" i="3" s="1"/>
  <c r="W99" i="3" s="1"/>
  <c r="H74" i="3"/>
  <c r="V74" i="3" s="1"/>
  <c r="G74" i="3"/>
  <c r="F74" i="3"/>
  <c r="E74" i="3"/>
  <c r="E99" i="3" s="1"/>
  <c r="S99" i="3" s="1"/>
  <c r="D74" i="3"/>
  <c r="C74" i="3"/>
  <c r="B74" i="3"/>
  <c r="Q73" i="3"/>
  <c r="P73" i="3"/>
  <c r="C73" i="3"/>
  <c r="B73" i="3"/>
  <c r="B75" i="3" s="1"/>
  <c r="P75" i="3" s="1"/>
  <c r="V72" i="3"/>
  <c r="M72" i="3"/>
  <c r="AA72" i="3" s="1"/>
  <c r="L72" i="3"/>
  <c r="Z72" i="3" s="1"/>
  <c r="K72" i="3"/>
  <c r="Y72" i="3" s="1"/>
  <c r="J72" i="3"/>
  <c r="X72" i="3" s="1"/>
  <c r="I72" i="3"/>
  <c r="I97" i="3" s="1"/>
  <c r="W97" i="3" s="1"/>
  <c r="H72" i="3"/>
  <c r="H97" i="3" s="1"/>
  <c r="G72" i="3"/>
  <c r="F72" i="3"/>
  <c r="T72" i="3" s="1"/>
  <c r="E72" i="3"/>
  <c r="E97" i="3" s="1"/>
  <c r="S97" i="3" s="1"/>
  <c r="D72" i="3"/>
  <c r="R72" i="3" s="1"/>
  <c r="C72" i="3"/>
  <c r="B72" i="3"/>
  <c r="P72" i="3" s="1"/>
  <c r="R71" i="3"/>
  <c r="M71" i="3"/>
  <c r="AA71" i="3" s="1"/>
  <c r="L71" i="3"/>
  <c r="Z71" i="3" s="1"/>
  <c r="K71" i="3"/>
  <c r="Y71" i="3" s="1"/>
  <c r="J71" i="3"/>
  <c r="X71" i="3" s="1"/>
  <c r="I71" i="3"/>
  <c r="H71" i="3"/>
  <c r="G71" i="3"/>
  <c r="G96" i="3" s="1"/>
  <c r="U96" i="3" s="1"/>
  <c r="F71" i="3"/>
  <c r="T71" i="3" s="1"/>
  <c r="E71" i="3"/>
  <c r="D71" i="3"/>
  <c r="C71" i="3"/>
  <c r="C96" i="3" s="1"/>
  <c r="Q96" i="3" s="1"/>
  <c r="B71" i="3"/>
  <c r="P71" i="3" s="1"/>
  <c r="V70" i="3"/>
  <c r="R70" i="3"/>
  <c r="M70" i="3"/>
  <c r="AA70" i="3" s="1"/>
  <c r="L70" i="3"/>
  <c r="Z70" i="3" s="1"/>
  <c r="K70" i="3"/>
  <c r="Y70" i="3" s="1"/>
  <c r="J70" i="3"/>
  <c r="X70" i="3" s="1"/>
  <c r="I70" i="3"/>
  <c r="H70" i="3"/>
  <c r="H95" i="3" s="1"/>
  <c r="V95" i="3" s="1"/>
  <c r="G70" i="3"/>
  <c r="G95" i="3" s="1"/>
  <c r="U95" i="3" s="1"/>
  <c r="F70" i="3"/>
  <c r="T70" i="3" s="1"/>
  <c r="E70" i="3"/>
  <c r="D70" i="3"/>
  <c r="C70" i="3"/>
  <c r="C95" i="3" s="1"/>
  <c r="Q95" i="3" s="1"/>
  <c r="B70" i="3"/>
  <c r="P70" i="3" s="1"/>
  <c r="Z69" i="3"/>
  <c r="M69" i="3"/>
  <c r="AA69" i="3" s="1"/>
  <c r="L69" i="3"/>
  <c r="K69" i="3"/>
  <c r="Y69" i="3" s="1"/>
  <c r="J69" i="3"/>
  <c r="X69" i="3" s="1"/>
  <c r="I69" i="3"/>
  <c r="I94" i="3" s="1"/>
  <c r="W94" i="3" s="1"/>
  <c r="H69" i="3"/>
  <c r="G69" i="3"/>
  <c r="F69" i="3"/>
  <c r="T69" i="3" s="1"/>
  <c r="E69" i="3"/>
  <c r="E94" i="3" s="1"/>
  <c r="S94" i="3" s="1"/>
  <c r="D69" i="3"/>
  <c r="C69" i="3"/>
  <c r="B69" i="3"/>
  <c r="P69" i="3" s="1"/>
  <c r="V68" i="3"/>
  <c r="M68" i="3"/>
  <c r="AA68" i="3" s="1"/>
  <c r="L68" i="3"/>
  <c r="Z68" i="3" s="1"/>
  <c r="K68" i="3"/>
  <c r="Y68" i="3" s="1"/>
  <c r="J68" i="3"/>
  <c r="X68" i="3" s="1"/>
  <c r="I68" i="3"/>
  <c r="I93" i="3" s="1"/>
  <c r="W93" i="3" s="1"/>
  <c r="H68" i="3"/>
  <c r="G68" i="3"/>
  <c r="G93" i="3" s="1"/>
  <c r="U93" i="3" s="1"/>
  <c r="F68" i="3"/>
  <c r="T68" i="3" s="1"/>
  <c r="E68" i="3"/>
  <c r="E93" i="3" s="1"/>
  <c r="S93" i="3" s="1"/>
  <c r="D68" i="3"/>
  <c r="R68" i="3" s="1"/>
  <c r="C68" i="3"/>
  <c r="C93" i="3" s="1"/>
  <c r="Q93" i="3" s="1"/>
  <c r="B68" i="3"/>
  <c r="P68" i="3" s="1"/>
  <c r="R67" i="3"/>
  <c r="M67" i="3"/>
  <c r="AA67" i="3" s="1"/>
  <c r="L67" i="3"/>
  <c r="Z67" i="3" s="1"/>
  <c r="K67" i="3"/>
  <c r="Y67" i="3" s="1"/>
  <c r="J67" i="3"/>
  <c r="X67" i="3" s="1"/>
  <c r="I67" i="3"/>
  <c r="H67" i="3"/>
  <c r="G67" i="3"/>
  <c r="F67" i="3"/>
  <c r="T67" i="3" s="1"/>
  <c r="E67" i="3"/>
  <c r="D67" i="3"/>
  <c r="C67" i="3"/>
  <c r="B67" i="3"/>
  <c r="P67" i="3" s="1"/>
  <c r="V66" i="3"/>
  <c r="R66" i="3"/>
  <c r="M66" i="3"/>
  <c r="AA66" i="3" s="1"/>
  <c r="L66" i="3"/>
  <c r="Z66" i="3" s="1"/>
  <c r="K66" i="3"/>
  <c r="Y66" i="3" s="1"/>
  <c r="J66" i="3"/>
  <c r="X66" i="3" s="1"/>
  <c r="I66" i="3"/>
  <c r="I91" i="3" s="1"/>
  <c r="W91" i="3" s="1"/>
  <c r="H66" i="3"/>
  <c r="H91" i="3" s="1"/>
  <c r="V91" i="3" s="1"/>
  <c r="G66" i="3"/>
  <c r="G91" i="3" s="1"/>
  <c r="U91" i="3" s="1"/>
  <c r="F66" i="3"/>
  <c r="T66" i="3" s="1"/>
  <c r="E66" i="3"/>
  <c r="E91" i="3" s="1"/>
  <c r="S91" i="3" s="1"/>
  <c r="D66" i="3"/>
  <c r="C66" i="3"/>
  <c r="C91" i="3" s="1"/>
  <c r="Q91" i="3" s="1"/>
  <c r="B66" i="3"/>
  <c r="P66" i="3" s="1"/>
  <c r="Z65" i="3"/>
  <c r="M65" i="3"/>
  <c r="AA65" i="3" s="1"/>
  <c r="L65" i="3"/>
  <c r="K65" i="3"/>
  <c r="Y65" i="3" s="1"/>
  <c r="J65" i="3"/>
  <c r="X65" i="3" s="1"/>
  <c r="I65" i="3"/>
  <c r="H65" i="3"/>
  <c r="G65" i="3"/>
  <c r="F65" i="3"/>
  <c r="T65" i="3" s="1"/>
  <c r="E65" i="3"/>
  <c r="D65" i="3"/>
  <c r="C65" i="3"/>
  <c r="B65" i="3"/>
  <c r="P65" i="3" s="1"/>
  <c r="V64" i="3"/>
  <c r="M64" i="3"/>
  <c r="AA64" i="3" s="1"/>
  <c r="L64" i="3"/>
  <c r="Z64" i="3" s="1"/>
  <c r="K64" i="3"/>
  <c r="Y64" i="3" s="1"/>
  <c r="J64" i="3"/>
  <c r="X64" i="3" s="1"/>
  <c r="I64" i="3"/>
  <c r="I89" i="3" s="1"/>
  <c r="W89" i="3" s="1"/>
  <c r="H64" i="3"/>
  <c r="H89" i="3" s="1"/>
  <c r="V89" i="3" s="1"/>
  <c r="G64" i="3"/>
  <c r="G89" i="3" s="1"/>
  <c r="U89" i="3" s="1"/>
  <c r="F64" i="3"/>
  <c r="T64" i="3" s="1"/>
  <c r="E64" i="3"/>
  <c r="E89" i="3" s="1"/>
  <c r="S89" i="3" s="1"/>
  <c r="D64" i="3"/>
  <c r="R64" i="3" s="1"/>
  <c r="C64" i="3"/>
  <c r="C89" i="3" s="1"/>
  <c r="Q89" i="3" s="1"/>
  <c r="B64" i="3"/>
  <c r="P64" i="3" s="1"/>
  <c r="R63" i="3"/>
  <c r="M63" i="3"/>
  <c r="AA63" i="3" s="1"/>
  <c r="L63" i="3"/>
  <c r="Z63" i="3" s="1"/>
  <c r="K63" i="3"/>
  <c r="Y63" i="3" s="1"/>
  <c r="J63" i="3"/>
  <c r="X63" i="3" s="1"/>
  <c r="I63" i="3"/>
  <c r="H63" i="3"/>
  <c r="H88" i="3" s="1"/>
  <c r="V88" i="3" s="1"/>
  <c r="G63" i="3"/>
  <c r="F63" i="3"/>
  <c r="T63" i="3" s="1"/>
  <c r="E63" i="3"/>
  <c r="D63" i="3"/>
  <c r="D88" i="3" s="1"/>
  <c r="R88" i="3" s="1"/>
  <c r="C63" i="3"/>
  <c r="B63" i="3"/>
  <c r="P63" i="3" s="1"/>
  <c r="V62" i="3"/>
  <c r="R62" i="3"/>
  <c r="M62" i="3"/>
  <c r="AA62" i="3" s="1"/>
  <c r="L62" i="3"/>
  <c r="Z62" i="3" s="1"/>
  <c r="K62" i="3"/>
  <c r="Y62" i="3" s="1"/>
  <c r="J62" i="3"/>
  <c r="X62" i="3" s="1"/>
  <c r="I62" i="3"/>
  <c r="I87" i="3" s="1"/>
  <c r="W87" i="3" s="1"/>
  <c r="H62" i="3"/>
  <c r="G62" i="3"/>
  <c r="G87" i="3" s="1"/>
  <c r="U87" i="3" s="1"/>
  <c r="F62" i="3"/>
  <c r="T62" i="3" s="1"/>
  <c r="E62" i="3"/>
  <c r="E87" i="3" s="1"/>
  <c r="S87" i="3" s="1"/>
  <c r="D62" i="3"/>
  <c r="C62" i="3"/>
  <c r="C87" i="3" s="1"/>
  <c r="Q87" i="3" s="1"/>
  <c r="B62" i="3"/>
  <c r="P62" i="3" s="1"/>
  <c r="AL59" i="3"/>
  <c r="AK59" i="3"/>
  <c r="AH59" i="3"/>
  <c r="AG59" i="3"/>
  <c r="AD59" i="3"/>
  <c r="AC59" i="3"/>
  <c r="AA59" i="3"/>
  <c r="W59" i="3"/>
  <c r="S59" i="3"/>
  <c r="M59" i="3"/>
  <c r="L59" i="3"/>
  <c r="K59" i="3"/>
  <c r="Y59" i="3" s="1"/>
  <c r="AE59" i="3" s="1"/>
  <c r="J59" i="3"/>
  <c r="J109" i="3" s="1"/>
  <c r="X109" i="3" s="1"/>
  <c r="I59" i="3"/>
  <c r="H59" i="3"/>
  <c r="V59" i="3" s="1"/>
  <c r="G59" i="3"/>
  <c r="U59" i="3" s="1"/>
  <c r="F59" i="3"/>
  <c r="T59" i="3" s="1"/>
  <c r="T114" i="1" s="1"/>
  <c r="E59" i="3"/>
  <c r="D59" i="3"/>
  <c r="R59" i="3" s="1"/>
  <c r="C59" i="3"/>
  <c r="Q59" i="3" s="1"/>
  <c r="B59" i="3"/>
  <c r="B109" i="3" s="1"/>
  <c r="P109" i="3" s="1"/>
  <c r="AL58" i="3"/>
  <c r="AK58" i="3"/>
  <c r="AH58" i="3"/>
  <c r="AG58" i="3"/>
  <c r="AD58" i="3"/>
  <c r="AC58" i="3"/>
  <c r="X58" i="3"/>
  <c r="M58" i="3"/>
  <c r="AA58" i="3" s="1"/>
  <c r="AM58" i="3" s="1"/>
  <c r="L58" i="3"/>
  <c r="Z58" i="3" s="1"/>
  <c r="K58" i="3"/>
  <c r="Y58" i="3" s="1"/>
  <c r="J58" i="3"/>
  <c r="I58" i="3"/>
  <c r="W58" i="3" s="1"/>
  <c r="H58" i="3"/>
  <c r="V58" i="3" s="1"/>
  <c r="G58" i="3"/>
  <c r="U58" i="3" s="1"/>
  <c r="F58" i="3"/>
  <c r="F108" i="3" s="1"/>
  <c r="T108" i="3" s="1"/>
  <c r="E58" i="3"/>
  <c r="S58" i="3" s="1"/>
  <c r="D58" i="3"/>
  <c r="R58" i="3" s="1"/>
  <c r="C58" i="3"/>
  <c r="Q58" i="3" s="1"/>
  <c r="B58" i="3"/>
  <c r="P58" i="3" s="1"/>
  <c r="AL57" i="3"/>
  <c r="AK57" i="3"/>
  <c r="AH57" i="3"/>
  <c r="AG57" i="3"/>
  <c r="AD57" i="3"/>
  <c r="AC57" i="3"/>
  <c r="Y57" i="3"/>
  <c r="Q57" i="3"/>
  <c r="M57" i="3"/>
  <c r="AA57" i="3" s="1"/>
  <c r="AM57" i="3" s="1"/>
  <c r="L57" i="3"/>
  <c r="Z57" i="3" s="1"/>
  <c r="AI57" i="3" s="1"/>
  <c r="K57" i="3"/>
  <c r="J57" i="3"/>
  <c r="X57" i="3" s="1"/>
  <c r="I57" i="3"/>
  <c r="W57" i="3" s="1"/>
  <c r="H57" i="3"/>
  <c r="V57" i="3" s="1"/>
  <c r="G57" i="3"/>
  <c r="U57" i="3" s="1"/>
  <c r="F57" i="3"/>
  <c r="T57" i="3" s="1"/>
  <c r="E57" i="3"/>
  <c r="S57" i="3" s="1"/>
  <c r="D57" i="3"/>
  <c r="R57" i="3" s="1"/>
  <c r="C57" i="3"/>
  <c r="B57" i="3"/>
  <c r="P57" i="3" s="1"/>
  <c r="AL56" i="3"/>
  <c r="AK56" i="3"/>
  <c r="AH56" i="3"/>
  <c r="AG56" i="3"/>
  <c r="AD56" i="3"/>
  <c r="AC56" i="3"/>
  <c r="Z56" i="3"/>
  <c r="AI56" i="3" s="1"/>
  <c r="M56" i="3"/>
  <c r="AA56" i="3" s="1"/>
  <c r="L56" i="3"/>
  <c r="K56" i="3"/>
  <c r="Y56" i="3" s="1"/>
  <c r="AE56" i="3" s="1"/>
  <c r="J56" i="3"/>
  <c r="X56" i="3" s="1"/>
  <c r="I56" i="3"/>
  <c r="W56" i="3" s="1"/>
  <c r="H56" i="3"/>
  <c r="V56" i="3" s="1"/>
  <c r="G56" i="3"/>
  <c r="U56" i="3" s="1"/>
  <c r="F56" i="3"/>
  <c r="T56" i="3" s="1"/>
  <c r="E56" i="3"/>
  <c r="S56" i="3" s="1"/>
  <c r="D56" i="3"/>
  <c r="R56" i="3" s="1"/>
  <c r="C56" i="3"/>
  <c r="Q56" i="3" s="1"/>
  <c r="B56" i="3"/>
  <c r="P56" i="3" s="1"/>
  <c r="AL55" i="3"/>
  <c r="AK55" i="3"/>
  <c r="AH55" i="3"/>
  <c r="AG55" i="3"/>
  <c r="AD55" i="3"/>
  <c r="AC55" i="3"/>
  <c r="T55" i="3"/>
  <c r="M55" i="3"/>
  <c r="AA55" i="3" s="1"/>
  <c r="AM55" i="3" s="1"/>
  <c r="L55" i="3"/>
  <c r="Z55" i="3" s="1"/>
  <c r="AI55" i="3" s="1"/>
  <c r="K55" i="3"/>
  <c r="Y55" i="3" s="1"/>
  <c r="J55" i="3"/>
  <c r="J105" i="3" s="1"/>
  <c r="X105" i="3" s="1"/>
  <c r="I55" i="3"/>
  <c r="W55" i="3" s="1"/>
  <c r="H55" i="3"/>
  <c r="V55" i="3" s="1"/>
  <c r="G55" i="3"/>
  <c r="U55" i="3" s="1"/>
  <c r="F55" i="3"/>
  <c r="E55" i="3"/>
  <c r="S55" i="3" s="1"/>
  <c r="D55" i="3"/>
  <c r="R55" i="3" s="1"/>
  <c r="C55" i="3"/>
  <c r="Q55" i="3" s="1"/>
  <c r="B55" i="3"/>
  <c r="B105" i="3" s="1"/>
  <c r="P105" i="3" s="1"/>
  <c r="AM54" i="3"/>
  <c r="AL54" i="3"/>
  <c r="AK54" i="3"/>
  <c r="AH54" i="3"/>
  <c r="AG54" i="3"/>
  <c r="AD54" i="3"/>
  <c r="AC54" i="3"/>
  <c r="M54" i="3"/>
  <c r="AA54" i="3" s="1"/>
  <c r="L54" i="3"/>
  <c r="Z54" i="3" s="1"/>
  <c r="AI54" i="3" s="1"/>
  <c r="K54" i="3"/>
  <c r="Y54" i="3" s="1"/>
  <c r="AE54" i="3" s="1"/>
  <c r="J54" i="3"/>
  <c r="X54" i="3" s="1"/>
  <c r="I54" i="3"/>
  <c r="W54" i="3" s="1"/>
  <c r="H54" i="3"/>
  <c r="V54" i="3" s="1"/>
  <c r="G54" i="3"/>
  <c r="U54" i="3" s="1"/>
  <c r="F54" i="3"/>
  <c r="E54" i="3"/>
  <c r="S54" i="3" s="1"/>
  <c r="D54" i="3"/>
  <c r="R54" i="3" s="1"/>
  <c r="C54" i="3"/>
  <c r="Q54" i="3" s="1"/>
  <c r="B54" i="3"/>
  <c r="P54" i="3" s="1"/>
  <c r="AL53" i="3"/>
  <c r="AK53" i="3"/>
  <c r="AH53" i="3"/>
  <c r="AG53" i="3"/>
  <c r="AD53" i="3"/>
  <c r="AC53" i="3"/>
  <c r="Y53" i="3"/>
  <c r="AE53" i="3" s="1"/>
  <c r="U53" i="3"/>
  <c r="Q53" i="3"/>
  <c r="M53" i="3"/>
  <c r="AA53" i="3" s="1"/>
  <c r="L53" i="3"/>
  <c r="Z53" i="3" s="1"/>
  <c r="AI53" i="3" s="1"/>
  <c r="K53" i="3"/>
  <c r="J53" i="3"/>
  <c r="X53" i="3" s="1"/>
  <c r="I53" i="3"/>
  <c r="W53" i="3" s="1"/>
  <c r="H53" i="3"/>
  <c r="G53" i="3"/>
  <c r="F53" i="3"/>
  <c r="T53" i="3" s="1"/>
  <c r="E53" i="3"/>
  <c r="S53" i="3" s="1"/>
  <c r="D53" i="3"/>
  <c r="R53" i="3" s="1"/>
  <c r="C53" i="3"/>
  <c r="B53" i="3"/>
  <c r="P53" i="3" s="1"/>
  <c r="AL52" i="3"/>
  <c r="AK52" i="3"/>
  <c r="AH52" i="3"/>
  <c r="AG52" i="3"/>
  <c r="AD52" i="3"/>
  <c r="AC52" i="3"/>
  <c r="Z52" i="3"/>
  <c r="W52" i="3"/>
  <c r="R52" i="3"/>
  <c r="M52" i="3"/>
  <c r="AA52" i="3" s="1"/>
  <c r="AM52" i="3" s="1"/>
  <c r="L52" i="3"/>
  <c r="K52" i="3"/>
  <c r="Y52" i="3" s="1"/>
  <c r="AE52" i="3" s="1"/>
  <c r="J52" i="3"/>
  <c r="X52" i="3" s="1"/>
  <c r="I52" i="3"/>
  <c r="H52" i="3"/>
  <c r="V52" i="3" s="1"/>
  <c r="G52" i="3"/>
  <c r="U52" i="3" s="1"/>
  <c r="F52" i="3"/>
  <c r="T52" i="3" s="1"/>
  <c r="E52" i="3"/>
  <c r="S52" i="3" s="1"/>
  <c r="D52" i="3"/>
  <c r="C52" i="3"/>
  <c r="Q52" i="3" s="1"/>
  <c r="B52" i="3"/>
  <c r="P52" i="3" s="1"/>
  <c r="Q51" i="3"/>
  <c r="P51" i="3"/>
  <c r="C51" i="3"/>
  <c r="B51" i="3"/>
  <c r="AM50" i="3"/>
  <c r="AL50" i="3"/>
  <c r="AK50" i="3"/>
  <c r="AH50" i="3"/>
  <c r="AG50" i="3"/>
  <c r="AD50" i="3"/>
  <c r="AC50" i="3"/>
  <c r="AA50" i="3"/>
  <c r="S50" i="3"/>
  <c r="M50" i="3"/>
  <c r="L50" i="3"/>
  <c r="Z50" i="3" s="1"/>
  <c r="K50" i="3"/>
  <c r="Y50" i="3" s="1"/>
  <c r="J50" i="3"/>
  <c r="X50" i="3" s="1"/>
  <c r="I50" i="3"/>
  <c r="W50" i="3" s="1"/>
  <c r="H50" i="3"/>
  <c r="V50" i="3" s="1"/>
  <c r="G50" i="3"/>
  <c r="U50" i="3" s="1"/>
  <c r="F50" i="3"/>
  <c r="T50" i="3" s="1"/>
  <c r="E50" i="3"/>
  <c r="D50" i="3"/>
  <c r="R50" i="3" s="1"/>
  <c r="AM49" i="3"/>
  <c r="AL49" i="3"/>
  <c r="AK49" i="3"/>
  <c r="AH49" i="3"/>
  <c r="AG49" i="3"/>
  <c r="AD49" i="3"/>
  <c r="AC49" i="3"/>
  <c r="T49" i="3"/>
  <c r="Q49" i="3"/>
  <c r="M49" i="3"/>
  <c r="AA49" i="3" s="1"/>
  <c r="L49" i="3"/>
  <c r="Z49" i="3" s="1"/>
  <c r="AI49" i="3" s="1"/>
  <c r="K49" i="3"/>
  <c r="Y49" i="3" s="1"/>
  <c r="AE49" i="3" s="1"/>
  <c r="J49" i="3"/>
  <c r="X49" i="3" s="1"/>
  <c r="I49" i="3"/>
  <c r="W49" i="3" s="1"/>
  <c r="H49" i="3"/>
  <c r="V49" i="3" s="1"/>
  <c r="G49" i="3"/>
  <c r="U49" i="3" s="1"/>
  <c r="F49" i="3"/>
  <c r="E49" i="3"/>
  <c r="S49" i="3" s="1"/>
  <c r="D49" i="3"/>
  <c r="R49" i="3" s="1"/>
  <c r="C49" i="3"/>
  <c r="B49" i="3"/>
  <c r="P49" i="3" s="1"/>
  <c r="C48" i="3"/>
  <c r="B48" i="3"/>
  <c r="P48" i="3" s="1"/>
  <c r="AL47" i="3"/>
  <c r="AK47" i="3"/>
  <c r="AH47" i="3"/>
  <c r="AG47" i="3"/>
  <c r="AD47" i="3"/>
  <c r="AC47" i="3"/>
  <c r="Z47" i="3"/>
  <c r="AI47" i="3" s="1"/>
  <c r="V47" i="3"/>
  <c r="R47" i="3"/>
  <c r="M47" i="3"/>
  <c r="AA47" i="3" s="1"/>
  <c r="AM47" i="3" s="1"/>
  <c r="L47" i="3"/>
  <c r="K47" i="3"/>
  <c r="Y47" i="3" s="1"/>
  <c r="AE47" i="3" s="1"/>
  <c r="J47" i="3"/>
  <c r="X47" i="3" s="1"/>
  <c r="I47" i="3"/>
  <c r="W47" i="3" s="1"/>
  <c r="H47" i="3"/>
  <c r="G47" i="3"/>
  <c r="U47" i="3" s="1"/>
  <c r="F47" i="3"/>
  <c r="T47" i="3" s="1"/>
  <c r="E47" i="3"/>
  <c r="S47" i="3" s="1"/>
  <c r="D47" i="3"/>
  <c r="C47" i="3"/>
  <c r="Q47" i="3" s="1"/>
  <c r="B47" i="3"/>
  <c r="P47" i="3" s="1"/>
  <c r="AL46" i="3"/>
  <c r="AK46" i="3"/>
  <c r="AH46" i="3"/>
  <c r="AG46" i="3"/>
  <c r="AE46" i="3"/>
  <c r="AD46" i="3"/>
  <c r="AC46" i="3"/>
  <c r="V46" i="3"/>
  <c r="M46" i="3"/>
  <c r="AA46" i="3" s="1"/>
  <c r="AM46" i="3" s="1"/>
  <c r="L46" i="3"/>
  <c r="Z46" i="3" s="1"/>
  <c r="AI46" i="3" s="1"/>
  <c r="K46" i="3"/>
  <c r="Y46" i="3" s="1"/>
  <c r="J46" i="3"/>
  <c r="X46" i="3" s="1"/>
  <c r="I46" i="3"/>
  <c r="W46" i="3" s="1"/>
  <c r="H46" i="3"/>
  <c r="G46" i="3"/>
  <c r="U46" i="3" s="1"/>
  <c r="F46" i="3"/>
  <c r="T46" i="3" s="1"/>
  <c r="E46" i="3"/>
  <c r="S46" i="3" s="1"/>
  <c r="D46" i="3"/>
  <c r="R46" i="3" s="1"/>
  <c r="C46" i="3"/>
  <c r="Q46" i="3" s="1"/>
  <c r="B46" i="3"/>
  <c r="P46" i="3" s="1"/>
  <c r="AL45" i="3"/>
  <c r="AK45" i="3"/>
  <c r="AH45" i="3"/>
  <c r="AG45" i="3"/>
  <c r="AD45" i="3"/>
  <c r="AC45" i="3"/>
  <c r="M45" i="3"/>
  <c r="AA45" i="3" s="1"/>
  <c r="L45" i="3"/>
  <c r="Z45" i="3" s="1"/>
  <c r="K45" i="3"/>
  <c r="Y45" i="3" s="1"/>
  <c r="AE45" i="3" s="1"/>
  <c r="J45" i="3"/>
  <c r="X45" i="3" s="1"/>
  <c r="I45" i="3"/>
  <c r="W45" i="3" s="1"/>
  <c r="H45" i="3"/>
  <c r="V45" i="3" s="1"/>
  <c r="G45" i="3"/>
  <c r="U45" i="3" s="1"/>
  <c r="F45" i="3"/>
  <c r="T45" i="3" s="1"/>
  <c r="E45" i="3"/>
  <c r="S45" i="3" s="1"/>
  <c r="D45" i="3"/>
  <c r="R45" i="3" s="1"/>
  <c r="C45" i="3"/>
  <c r="Q45" i="3" s="1"/>
  <c r="B45" i="3"/>
  <c r="P45" i="3" s="1"/>
  <c r="AM44" i="3"/>
  <c r="AL44" i="3"/>
  <c r="AK44" i="3"/>
  <c r="AH44" i="3"/>
  <c r="AG44" i="3"/>
  <c r="AD44" i="3"/>
  <c r="AC44" i="3"/>
  <c r="T44" i="3"/>
  <c r="Q44" i="3"/>
  <c r="M44" i="3"/>
  <c r="AA44" i="3" s="1"/>
  <c r="L44" i="3"/>
  <c r="Z44" i="3" s="1"/>
  <c r="AI44" i="3" s="1"/>
  <c r="K44" i="3"/>
  <c r="Y44" i="3" s="1"/>
  <c r="AE44" i="3" s="1"/>
  <c r="J44" i="3"/>
  <c r="X44" i="3" s="1"/>
  <c r="I44" i="3"/>
  <c r="W44" i="3" s="1"/>
  <c r="H44" i="3"/>
  <c r="V44" i="3" s="1"/>
  <c r="G44" i="3"/>
  <c r="U44" i="3" s="1"/>
  <c r="F44" i="3"/>
  <c r="E44" i="3"/>
  <c r="S44" i="3" s="1"/>
  <c r="D44" i="3"/>
  <c r="R44" i="3" s="1"/>
  <c r="C44" i="3"/>
  <c r="B44" i="3"/>
  <c r="P44" i="3" s="1"/>
  <c r="AL43" i="3"/>
  <c r="AK43" i="3"/>
  <c r="AH43" i="3"/>
  <c r="AD43" i="3"/>
  <c r="AC43" i="3"/>
  <c r="Y43" i="3"/>
  <c r="AE43" i="3" s="1"/>
  <c r="U43" i="3"/>
  <c r="Q43" i="3"/>
  <c r="M43" i="3"/>
  <c r="AA43" i="3" s="1"/>
  <c r="AM43" i="3" s="1"/>
  <c r="L43" i="3"/>
  <c r="Z43" i="3" s="1"/>
  <c r="AI43" i="3" s="1"/>
  <c r="K43" i="3"/>
  <c r="J43" i="3"/>
  <c r="X43" i="3" s="1"/>
  <c r="I43" i="3"/>
  <c r="W43" i="3" s="1"/>
  <c r="H43" i="3"/>
  <c r="V43" i="3" s="1"/>
  <c r="G43" i="3"/>
  <c r="F43" i="3"/>
  <c r="T43" i="3" s="1"/>
  <c r="E43" i="3"/>
  <c r="S43" i="3" s="1"/>
  <c r="D43" i="3"/>
  <c r="R43" i="3" s="1"/>
  <c r="C43" i="3"/>
  <c r="B43" i="3"/>
  <c r="P43" i="3" s="1"/>
  <c r="AL42" i="3"/>
  <c r="AK42" i="3"/>
  <c r="AG42" i="3"/>
  <c r="AD42" i="3"/>
  <c r="AC42" i="3"/>
  <c r="Y42" i="3"/>
  <c r="AE42" i="3" s="1"/>
  <c r="U42" i="3"/>
  <c r="S42" i="3"/>
  <c r="Q42" i="3"/>
  <c r="M42" i="3"/>
  <c r="AA42" i="3" s="1"/>
  <c r="AM42" i="3" s="1"/>
  <c r="L42" i="3"/>
  <c r="Z42" i="3" s="1"/>
  <c r="AI42" i="3" s="1"/>
  <c r="K42" i="3"/>
  <c r="J42" i="3"/>
  <c r="X42" i="3" s="1"/>
  <c r="I42" i="3"/>
  <c r="W42" i="3" s="1"/>
  <c r="H42" i="3"/>
  <c r="V42" i="3" s="1"/>
  <c r="G42" i="3"/>
  <c r="F42" i="3"/>
  <c r="T42" i="3" s="1"/>
  <c r="E42" i="3"/>
  <c r="D42" i="3"/>
  <c r="R42" i="3" s="1"/>
  <c r="C42" i="3"/>
  <c r="B42" i="3"/>
  <c r="P42" i="3" s="1"/>
  <c r="AL41" i="3"/>
  <c r="AK41" i="3"/>
  <c r="AH41" i="3"/>
  <c r="AG41" i="3"/>
  <c r="AE41" i="3"/>
  <c r="AD41" i="3"/>
  <c r="AC41" i="3"/>
  <c r="Z41" i="3"/>
  <c r="AI41" i="3" s="1"/>
  <c r="V41" i="3"/>
  <c r="T41" i="3"/>
  <c r="R41" i="3"/>
  <c r="M41" i="3"/>
  <c r="AA41" i="3" s="1"/>
  <c r="L41" i="3"/>
  <c r="K41" i="3"/>
  <c r="Y41" i="3" s="1"/>
  <c r="J41" i="3"/>
  <c r="X41" i="3" s="1"/>
  <c r="I41" i="3"/>
  <c r="W41" i="3" s="1"/>
  <c r="H41" i="3"/>
  <c r="G41" i="3"/>
  <c r="U41" i="3" s="1"/>
  <c r="F41" i="3"/>
  <c r="E41" i="3"/>
  <c r="S41" i="3" s="1"/>
  <c r="D41" i="3"/>
  <c r="D91" i="3" s="1"/>
  <c r="R91" i="3" s="1"/>
  <c r="C41" i="3"/>
  <c r="Q41" i="3" s="1"/>
  <c r="B41" i="3"/>
  <c r="P41" i="3" s="1"/>
  <c r="AM40" i="3"/>
  <c r="AL40" i="3"/>
  <c r="AK40" i="3"/>
  <c r="AH40" i="3"/>
  <c r="AI40" i="3" s="1"/>
  <c r="AG40" i="3"/>
  <c r="AD40" i="3"/>
  <c r="AC40" i="3"/>
  <c r="AA40" i="3"/>
  <c r="W40" i="3"/>
  <c r="U40" i="3"/>
  <c r="S40" i="3"/>
  <c r="M40" i="3"/>
  <c r="L40" i="3"/>
  <c r="Z40" i="3" s="1"/>
  <c r="K40" i="3"/>
  <c r="Y40" i="3" s="1"/>
  <c r="AE40" i="3" s="1"/>
  <c r="J40" i="3"/>
  <c r="X40" i="3" s="1"/>
  <c r="I40" i="3"/>
  <c r="H40" i="3"/>
  <c r="V40" i="3" s="1"/>
  <c r="G40" i="3"/>
  <c r="F40" i="3"/>
  <c r="T40" i="3" s="1"/>
  <c r="E40" i="3"/>
  <c r="D40" i="3"/>
  <c r="R40" i="3" s="1"/>
  <c r="C40" i="3"/>
  <c r="Q40" i="3" s="1"/>
  <c r="B40" i="3"/>
  <c r="P40" i="3" s="1"/>
  <c r="AL39" i="3"/>
  <c r="AK39" i="3"/>
  <c r="AI39" i="3"/>
  <c r="AH39" i="3"/>
  <c r="AD39" i="3"/>
  <c r="AC39" i="3"/>
  <c r="X39" i="3"/>
  <c r="V39" i="3"/>
  <c r="T39" i="3"/>
  <c r="Q39" i="3"/>
  <c r="M39" i="3"/>
  <c r="AA39" i="3" s="1"/>
  <c r="AM39" i="3" s="1"/>
  <c r="L39" i="3"/>
  <c r="Z39" i="3" s="1"/>
  <c r="K39" i="3"/>
  <c r="Y39" i="3" s="1"/>
  <c r="J39" i="3"/>
  <c r="I39" i="3"/>
  <c r="W39" i="3" s="1"/>
  <c r="H39" i="3"/>
  <c r="G39" i="3"/>
  <c r="U39" i="3" s="1"/>
  <c r="F39" i="3"/>
  <c r="E39" i="3"/>
  <c r="S39" i="3" s="1"/>
  <c r="D39" i="3"/>
  <c r="R39" i="3" s="1"/>
  <c r="C39" i="3"/>
  <c r="B39" i="3"/>
  <c r="P39" i="3" s="1"/>
  <c r="AL38" i="3"/>
  <c r="AK38" i="3"/>
  <c r="AG38" i="3"/>
  <c r="AD38" i="3"/>
  <c r="AC38" i="3"/>
  <c r="W38" i="3"/>
  <c r="S38" i="3"/>
  <c r="R38" i="3"/>
  <c r="M38" i="3"/>
  <c r="AA38" i="3" s="1"/>
  <c r="AM38" i="3" s="1"/>
  <c r="L38" i="3"/>
  <c r="Z38" i="3" s="1"/>
  <c r="AI38" i="3" s="1"/>
  <c r="K38" i="3"/>
  <c r="Y38" i="3" s="1"/>
  <c r="AE38" i="3" s="1"/>
  <c r="J38" i="3"/>
  <c r="X38" i="3" s="1"/>
  <c r="I38" i="3"/>
  <c r="H38" i="3"/>
  <c r="V38" i="3" s="1"/>
  <c r="G38" i="3"/>
  <c r="U38" i="3" s="1"/>
  <c r="F38" i="3"/>
  <c r="T38" i="3" s="1"/>
  <c r="E38" i="3"/>
  <c r="D38" i="3"/>
  <c r="C38" i="3"/>
  <c r="Q38" i="3" s="1"/>
  <c r="B38" i="3"/>
  <c r="P38" i="3" s="1"/>
  <c r="AL37" i="3"/>
  <c r="AK37" i="3"/>
  <c r="AH37" i="3"/>
  <c r="AG37" i="3"/>
  <c r="AE37" i="3"/>
  <c r="AD37" i="3"/>
  <c r="AC37" i="3"/>
  <c r="X37" i="3"/>
  <c r="T37" i="3"/>
  <c r="S37" i="3"/>
  <c r="M37" i="3"/>
  <c r="AA37" i="3" s="1"/>
  <c r="AM37" i="3" s="1"/>
  <c r="L37" i="3"/>
  <c r="Z37" i="3" s="1"/>
  <c r="AI37" i="3" s="1"/>
  <c r="K37" i="3"/>
  <c r="Y37" i="3" s="1"/>
  <c r="J37" i="3"/>
  <c r="I37" i="3"/>
  <c r="W37" i="3" s="1"/>
  <c r="H37" i="3"/>
  <c r="V37" i="3" s="1"/>
  <c r="G37" i="3"/>
  <c r="U37" i="3" s="1"/>
  <c r="F37" i="3"/>
  <c r="E37" i="3"/>
  <c r="D37" i="3"/>
  <c r="R37" i="3" s="1"/>
  <c r="C37" i="3"/>
  <c r="Q37" i="3" s="1"/>
  <c r="B37" i="3"/>
  <c r="P37" i="3" s="1"/>
  <c r="M33" i="3"/>
  <c r="L33" i="3"/>
  <c r="K33" i="3"/>
  <c r="J33" i="3"/>
  <c r="I33" i="3"/>
  <c r="H33" i="3"/>
  <c r="G33" i="3"/>
  <c r="F33" i="3"/>
  <c r="E33" i="3"/>
  <c r="D33" i="3"/>
  <c r="C33" i="3"/>
  <c r="B33" i="3"/>
  <c r="M32" i="3"/>
  <c r="L32" i="3"/>
  <c r="K32" i="3"/>
  <c r="J32" i="3"/>
  <c r="I32" i="3"/>
  <c r="H32" i="3"/>
  <c r="G32" i="3"/>
  <c r="F32" i="3"/>
  <c r="E32" i="3"/>
  <c r="D32" i="3"/>
  <c r="C32" i="3"/>
  <c r="B32" i="3"/>
  <c r="M31" i="3"/>
  <c r="L31" i="3"/>
  <c r="K31" i="3"/>
  <c r="J31" i="3"/>
  <c r="I31" i="3"/>
  <c r="H31" i="3"/>
  <c r="G31" i="3"/>
  <c r="F31" i="3"/>
  <c r="E31" i="3"/>
  <c r="D31" i="3"/>
  <c r="C31" i="3"/>
  <c r="B31" i="3"/>
  <c r="M30" i="3"/>
  <c r="L30" i="3"/>
  <c r="K30" i="3"/>
  <c r="J30" i="3"/>
  <c r="I30" i="3"/>
  <c r="H30" i="3"/>
  <c r="G30" i="3"/>
  <c r="F30" i="3"/>
  <c r="E30" i="3"/>
  <c r="D30" i="3"/>
  <c r="C30" i="3"/>
  <c r="B30" i="3"/>
  <c r="M29" i="3"/>
  <c r="L29" i="3"/>
  <c r="K29" i="3"/>
  <c r="J29" i="3"/>
  <c r="I29" i="3"/>
  <c r="H29" i="3"/>
  <c r="G29" i="3"/>
  <c r="F29" i="3"/>
  <c r="E29" i="3"/>
  <c r="D29" i="3"/>
  <c r="C29" i="3"/>
  <c r="B29" i="3"/>
  <c r="M28" i="3"/>
  <c r="L28" i="3"/>
  <c r="K28" i="3"/>
  <c r="J28" i="3"/>
  <c r="I28" i="3"/>
  <c r="H28" i="3"/>
  <c r="G28" i="3"/>
  <c r="F28" i="3"/>
  <c r="E28" i="3"/>
  <c r="D28" i="3"/>
  <c r="C28" i="3"/>
  <c r="B28" i="3"/>
  <c r="M27" i="3"/>
  <c r="L27" i="3"/>
  <c r="K27" i="3"/>
  <c r="J27" i="3"/>
  <c r="I27" i="3"/>
  <c r="H27" i="3"/>
  <c r="G27" i="3"/>
  <c r="F27" i="3"/>
  <c r="E27" i="3"/>
  <c r="D27" i="3"/>
  <c r="C27" i="3"/>
  <c r="B27" i="3"/>
  <c r="M26" i="3"/>
  <c r="L26" i="3"/>
  <c r="K26" i="3"/>
  <c r="J26" i="3"/>
  <c r="I26" i="3"/>
  <c r="H26" i="3"/>
  <c r="G26" i="3"/>
  <c r="F26" i="3"/>
  <c r="E26" i="3"/>
  <c r="D26" i="3"/>
  <c r="C26" i="3"/>
  <c r="B26" i="3"/>
  <c r="C25" i="3"/>
  <c r="B25" i="3"/>
  <c r="M24" i="3"/>
  <c r="L24" i="3"/>
  <c r="K24" i="3"/>
  <c r="J24" i="3"/>
  <c r="I24" i="3"/>
  <c r="H24" i="3"/>
  <c r="G24" i="3"/>
  <c r="F24" i="3"/>
  <c r="E24" i="3"/>
  <c r="D24" i="3"/>
  <c r="M23" i="3"/>
  <c r="L23" i="3"/>
  <c r="K23" i="3"/>
  <c r="J23" i="3"/>
  <c r="I23" i="3"/>
  <c r="H23" i="3"/>
  <c r="G23" i="3"/>
  <c r="F23" i="3"/>
  <c r="E23" i="3"/>
  <c r="D23" i="3"/>
  <c r="C23" i="3"/>
  <c r="B23" i="3"/>
  <c r="C22" i="3"/>
  <c r="B22" i="3"/>
  <c r="M21" i="3"/>
  <c r="L21" i="3"/>
  <c r="K21" i="3"/>
  <c r="J21" i="3"/>
  <c r="I21" i="3"/>
  <c r="H21" i="3"/>
  <c r="G21" i="3"/>
  <c r="F21" i="3"/>
  <c r="E21" i="3"/>
  <c r="D21" i="3"/>
  <c r="C21" i="3"/>
  <c r="B21" i="3"/>
  <c r="M20" i="3"/>
  <c r="L20" i="3"/>
  <c r="K20" i="3"/>
  <c r="J20" i="3"/>
  <c r="I20" i="3"/>
  <c r="H20" i="3"/>
  <c r="G20" i="3"/>
  <c r="F20" i="3"/>
  <c r="E20" i="3"/>
  <c r="D20" i="3"/>
  <c r="C20" i="3"/>
  <c r="B20" i="3"/>
  <c r="M19" i="3"/>
  <c r="L19" i="3"/>
  <c r="K19" i="3"/>
  <c r="J19" i="3"/>
  <c r="I19" i="3"/>
  <c r="H19" i="3"/>
  <c r="G19" i="3"/>
  <c r="F19" i="3"/>
  <c r="E19" i="3"/>
  <c r="D19" i="3"/>
  <c r="C19" i="3"/>
  <c r="B19" i="3"/>
  <c r="M18" i="3"/>
  <c r="L18" i="3"/>
  <c r="K18" i="3"/>
  <c r="J18" i="3"/>
  <c r="I18" i="3"/>
  <c r="H18" i="3"/>
  <c r="G18" i="3"/>
  <c r="F18" i="3"/>
  <c r="E18" i="3"/>
  <c r="D18" i="3"/>
  <c r="C18" i="3"/>
  <c r="B18" i="3"/>
  <c r="M17" i="3"/>
  <c r="L17" i="3"/>
  <c r="K17" i="3"/>
  <c r="J17" i="3"/>
  <c r="I17" i="3"/>
  <c r="H17" i="3"/>
  <c r="G17" i="3"/>
  <c r="F17" i="3"/>
  <c r="E17" i="3"/>
  <c r="D17" i="3"/>
  <c r="C17" i="3"/>
  <c r="B17" i="3"/>
  <c r="M16" i="3"/>
  <c r="L16" i="3"/>
  <c r="K16" i="3"/>
  <c r="J16" i="3"/>
  <c r="I16" i="3"/>
  <c r="H16" i="3"/>
  <c r="G16" i="3"/>
  <c r="F16" i="3"/>
  <c r="E16" i="3"/>
  <c r="D16" i="3"/>
  <c r="C16" i="3"/>
  <c r="B16" i="3"/>
  <c r="M15" i="3"/>
  <c r="L15" i="3"/>
  <c r="K15" i="3"/>
  <c r="J15" i="3"/>
  <c r="I15" i="3"/>
  <c r="H15" i="3"/>
  <c r="G15" i="3"/>
  <c r="F15" i="3"/>
  <c r="E15" i="3"/>
  <c r="D15" i="3"/>
  <c r="C15" i="3"/>
  <c r="B15" i="3"/>
  <c r="M14" i="3"/>
  <c r="L14" i="3"/>
  <c r="K14" i="3"/>
  <c r="J14" i="3"/>
  <c r="I14" i="3"/>
  <c r="H14" i="3"/>
  <c r="G14" i="3"/>
  <c r="F14" i="3"/>
  <c r="E14" i="3"/>
  <c r="D14" i="3"/>
  <c r="C14" i="3"/>
  <c r="B14" i="3"/>
  <c r="M13" i="3"/>
  <c r="L13" i="3"/>
  <c r="K13" i="3"/>
  <c r="J13" i="3"/>
  <c r="I13" i="3"/>
  <c r="H13" i="3"/>
  <c r="G13" i="3"/>
  <c r="F13" i="3"/>
  <c r="E13" i="3"/>
  <c r="D13" i="3"/>
  <c r="C13" i="3"/>
  <c r="B13" i="3"/>
  <c r="M12" i="3"/>
  <c r="L12" i="3"/>
  <c r="K12" i="3"/>
  <c r="J12" i="3"/>
  <c r="I12" i="3"/>
  <c r="H12" i="3"/>
  <c r="G12" i="3"/>
  <c r="F12" i="3"/>
  <c r="E12" i="3"/>
  <c r="D12" i="3"/>
  <c r="C12" i="3"/>
  <c r="B12" i="3"/>
  <c r="M11" i="3"/>
  <c r="L11" i="3"/>
  <c r="K11" i="3"/>
  <c r="J11" i="3"/>
  <c r="I11" i="3"/>
  <c r="H11" i="3"/>
  <c r="G11" i="3"/>
  <c r="F11" i="3"/>
  <c r="E11" i="3"/>
  <c r="D11" i="3"/>
  <c r="C11" i="3"/>
  <c r="B11" i="3"/>
  <c r="M8" i="3"/>
  <c r="AA8" i="3" s="1"/>
  <c r="L8" i="3"/>
  <c r="Z8" i="3" s="1"/>
  <c r="K8" i="3"/>
  <c r="J8" i="3"/>
  <c r="I8" i="3"/>
  <c r="W8" i="3" s="1"/>
  <c r="H8" i="3"/>
  <c r="G8" i="3"/>
  <c r="F8" i="3"/>
  <c r="E8" i="3"/>
  <c r="S8" i="3" s="1"/>
  <c r="D8" i="3"/>
  <c r="R8" i="3" s="1"/>
  <c r="C8" i="3"/>
  <c r="B8" i="3"/>
  <c r="P8" i="3" s="1"/>
  <c r="X7" i="3"/>
  <c r="R7" i="3"/>
  <c r="M7" i="3"/>
  <c r="AA7" i="3" s="1"/>
  <c r="L7" i="3"/>
  <c r="Z7" i="3" s="1"/>
  <c r="K7" i="3"/>
  <c r="J7" i="3"/>
  <c r="I7" i="3"/>
  <c r="W7" i="3" s="1"/>
  <c r="H7" i="3"/>
  <c r="V7" i="3" s="1"/>
  <c r="G7" i="3"/>
  <c r="F7" i="3"/>
  <c r="T7" i="3" s="1"/>
  <c r="E7" i="3"/>
  <c r="S7" i="3" s="1"/>
  <c r="D7" i="3"/>
  <c r="C7" i="3"/>
  <c r="Q7" i="3" s="1"/>
  <c r="B7" i="3"/>
  <c r="P7" i="3" s="1"/>
  <c r="T6" i="3"/>
  <c r="M6" i="3"/>
  <c r="AA6" i="3" s="1"/>
  <c r="L6" i="3"/>
  <c r="K6" i="3"/>
  <c r="J6" i="3"/>
  <c r="X6" i="3" s="1"/>
  <c r="I6" i="3"/>
  <c r="W6" i="3" s="1"/>
  <c r="H6" i="3"/>
  <c r="G6" i="3"/>
  <c r="F6" i="3"/>
  <c r="E6" i="3"/>
  <c r="S6" i="3" s="1"/>
  <c r="D6" i="3"/>
  <c r="R6" i="3" s="1"/>
  <c r="C6" i="3"/>
  <c r="B6" i="3"/>
  <c r="P6" i="3" s="1"/>
  <c r="Z5" i="3"/>
  <c r="U5" i="3"/>
  <c r="M5" i="3"/>
  <c r="AA5" i="3" s="1"/>
  <c r="L5" i="3"/>
  <c r="K5" i="3"/>
  <c r="Y5" i="3" s="1"/>
  <c r="J5" i="3"/>
  <c r="I5" i="3"/>
  <c r="W5" i="3" s="1"/>
  <c r="H5" i="3"/>
  <c r="V6" i="3" s="1"/>
  <c r="G5" i="3"/>
  <c r="F5" i="3"/>
  <c r="E5" i="3"/>
  <c r="S5" i="3" s="1"/>
  <c r="D5" i="3"/>
  <c r="R5" i="3" s="1"/>
  <c r="C5" i="3"/>
  <c r="Q5" i="3" s="1"/>
  <c r="B5" i="3"/>
  <c r="P5" i="3" s="1"/>
  <c r="V4" i="3"/>
  <c r="Q4" i="3"/>
  <c r="M4" i="3"/>
  <c r="AA4" i="3" s="1"/>
  <c r="L4" i="3"/>
  <c r="K4" i="3"/>
  <c r="J4" i="3"/>
  <c r="I4" i="3"/>
  <c r="W4" i="3" s="1"/>
  <c r="H4" i="3"/>
  <c r="G4" i="3"/>
  <c r="F4" i="3"/>
  <c r="E4" i="3"/>
  <c r="S4" i="3" s="1"/>
  <c r="D4" i="3"/>
  <c r="C4" i="3"/>
  <c r="Q8" i="3" s="1"/>
  <c r="B4" i="3"/>
  <c r="P4" i="3" s="1"/>
  <c r="R87" i="2"/>
  <c r="V85" i="2"/>
  <c r="U85" i="2"/>
  <c r="T85" i="2"/>
  <c r="S85" i="2"/>
  <c r="R85" i="2"/>
  <c r="R78" i="2"/>
  <c r="X78" i="2"/>
  <c r="W78" i="2"/>
  <c r="V78" i="2"/>
  <c r="U78" i="2"/>
  <c r="T78" i="2"/>
  <c r="S78" i="2"/>
  <c r="V76" i="2"/>
  <c r="Q76" i="2"/>
  <c r="K76" i="2"/>
  <c r="F76" i="2"/>
  <c r="X75" i="2"/>
  <c r="W75" i="2"/>
  <c r="W76" i="2" s="1"/>
  <c r="V75" i="2"/>
  <c r="U75" i="2"/>
  <c r="U76" i="2" s="1"/>
  <c r="T75" i="2"/>
  <c r="S75" i="2"/>
  <c r="S76" i="2" s="1"/>
  <c r="R75" i="2"/>
  <c r="Q75" i="2"/>
  <c r="R76" i="2" s="1"/>
  <c r="P75" i="2"/>
  <c r="O75" i="2"/>
  <c r="O76" i="2" s="1"/>
  <c r="N75" i="2"/>
  <c r="M75" i="2"/>
  <c r="N76" i="2" s="1"/>
  <c r="L75" i="2"/>
  <c r="K75" i="2"/>
  <c r="K73" i="2" s="1"/>
  <c r="J75" i="2"/>
  <c r="J76" i="2" s="1"/>
  <c r="I75" i="2"/>
  <c r="I76" i="2" s="1"/>
  <c r="H75" i="2"/>
  <c r="G75" i="2"/>
  <c r="G76" i="2" s="1"/>
  <c r="F75" i="2"/>
  <c r="E75" i="2"/>
  <c r="E76" i="2" s="1"/>
  <c r="D75" i="2"/>
  <c r="C75" i="2"/>
  <c r="C76" i="2" s="1"/>
  <c r="B75" i="2"/>
  <c r="X73" i="2"/>
  <c r="V73" i="2"/>
  <c r="U73" i="2"/>
  <c r="T73" i="2"/>
  <c r="R73" i="2"/>
  <c r="Q73" i="2"/>
  <c r="P73" i="2"/>
  <c r="N73" i="2"/>
  <c r="M73" i="2"/>
  <c r="L73" i="2"/>
  <c r="I73" i="2"/>
  <c r="H73" i="2"/>
  <c r="G73" i="2"/>
  <c r="F73" i="2"/>
  <c r="E73" i="2"/>
  <c r="D73" i="2"/>
  <c r="C73" i="2"/>
  <c r="B73" i="2"/>
  <c r="J72" i="2"/>
  <c r="J73" i="2" s="1"/>
  <c r="S71" i="2"/>
  <c r="X70" i="2"/>
  <c r="V70" i="2"/>
  <c r="T70" i="2"/>
  <c r="R70" i="2"/>
  <c r="P70" i="2"/>
  <c r="N70" i="2"/>
  <c r="L70" i="2"/>
  <c r="J70" i="2"/>
  <c r="H70" i="2"/>
  <c r="F70" i="2"/>
  <c r="D70" i="2"/>
  <c r="B70" i="2"/>
  <c r="X69" i="2"/>
  <c r="W69" i="2"/>
  <c r="W70" i="2" s="1"/>
  <c r="V69" i="2"/>
  <c r="U69" i="2"/>
  <c r="U70" i="2" s="1"/>
  <c r="T69" i="2"/>
  <c r="S69" i="2"/>
  <c r="R69" i="2"/>
  <c r="Q69" i="2"/>
  <c r="Q70" i="2" s="1"/>
  <c r="P69" i="2"/>
  <c r="O69" i="2"/>
  <c r="O70" i="2" s="1"/>
  <c r="N69" i="2"/>
  <c r="M69" i="2"/>
  <c r="M70" i="2" s="1"/>
  <c r="L69" i="2"/>
  <c r="K69" i="2"/>
  <c r="K70" i="2" s="1"/>
  <c r="J69" i="2"/>
  <c r="I69" i="2"/>
  <c r="I70" i="2" s="1"/>
  <c r="H69" i="2"/>
  <c r="G69" i="2"/>
  <c r="G70" i="2" s="1"/>
  <c r="F69" i="2"/>
  <c r="E69" i="2"/>
  <c r="E70" i="2" s="1"/>
  <c r="D69" i="2"/>
  <c r="C69" i="2"/>
  <c r="C70" i="2" s="1"/>
  <c r="B69" i="2"/>
  <c r="S30" i="2"/>
  <c r="R30" i="2"/>
  <c r="Q30" i="2"/>
  <c r="AL24" i="2"/>
  <c r="AH24" i="2"/>
  <c r="AD24" i="2"/>
  <c r="X24" i="2"/>
  <c r="W24" i="2"/>
  <c r="V24" i="2"/>
  <c r="U24" i="2"/>
  <c r="T24" i="2"/>
  <c r="S24" i="2"/>
  <c r="R24" i="2"/>
  <c r="Q24" i="2"/>
  <c r="P24" i="2"/>
  <c r="O24" i="2"/>
  <c r="N24" i="2"/>
  <c r="M24" i="2"/>
  <c r="L24" i="2"/>
  <c r="K24" i="2"/>
  <c r="J24" i="2"/>
  <c r="I24" i="2"/>
  <c r="H24" i="2"/>
  <c r="G24" i="2"/>
  <c r="F24" i="2"/>
  <c r="E24" i="2"/>
  <c r="D24" i="2"/>
  <c r="C24" i="2"/>
  <c r="AI23" i="2"/>
  <c r="AE23" i="2"/>
  <c r="X23" i="2"/>
  <c r="W23" i="2"/>
  <c r="V23" i="2"/>
  <c r="U23" i="2"/>
  <c r="T23" i="2"/>
  <c r="S23" i="2"/>
  <c r="R23" i="2"/>
  <c r="Q23" i="2"/>
  <c r="P23" i="2"/>
  <c r="O23" i="2"/>
  <c r="N23" i="2"/>
  <c r="M23" i="2"/>
  <c r="L23" i="2"/>
  <c r="K23" i="2"/>
  <c r="J23" i="2"/>
  <c r="I23" i="2"/>
  <c r="H23" i="2"/>
  <c r="G23" i="2"/>
  <c r="F23" i="2"/>
  <c r="E23" i="2"/>
  <c r="D23" i="2"/>
  <c r="C23" i="2"/>
  <c r="AB22" i="2"/>
  <c r="X22" i="2"/>
  <c r="W22" i="2"/>
  <c r="V22" i="2"/>
  <c r="U22" i="2"/>
  <c r="T22" i="2"/>
  <c r="S22" i="2"/>
  <c r="R22" i="2"/>
  <c r="Q22" i="2"/>
  <c r="P22" i="2"/>
  <c r="O22" i="2"/>
  <c r="N22" i="2"/>
  <c r="M22" i="2"/>
  <c r="L22" i="2"/>
  <c r="K22" i="2"/>
  <c r="J22" i="2"/>
  <c r="I22" i="2"/>
  <c r="H22" i="2"/>
  <c r="G22" i="2"/>
  <c r="F22" i="2"/>
  <c r="E22" i="2"/>
  <c r="D22" i="2"/>
  <c r="C22" i="2"/>
  <c r="I21" i="2"/>
  <c r="H21" i="2"/>
  <c r="G21" i="2"/>
  <c r="F21" i="2"/>
  <c r="E21" i="2"/>
  <c r="D21" i="2"/>
  <c r="C21" i="2"/>
  <c r="H18" i="2"/>
  <c r="F18" i="2"/>
  <c r="D18" i="2"/>
  <c r="B18" i="2"/>
  <c r="I17" i="2"/>
  <c r="H17" i="2"/>
  <c r="G17" i="2"/>
  <c r="G18" i="2" s="1"/>
  <c r="F17" i="2"/>
  <c r="E17" i="2"/>
  <c r="E18" i="2" s="1"/>
  <c r="D17" i="2"/>
  <c r="C17" i="2"/>
  <c r="C18" i="2" s="1"/>
  <c r="B17" i="2"/>
  <c r="W14" i="2"/>
  <c r="I14" i="2"/>
  <c r="H14" i="2"/>
  <c r="G14" i="2"/>
  <c r="F14" i="2"/>
  <c r="E14" i="2"/>
  <c r="D14" i="2"/>
  <c r="C14" i="2"/>
  <c r="B14" i="2"/>
  <c r="X13" i="2"/>
  <c r="T13" i="2"/>
  <c r="I13" i="2"/>
  <c r="H13" i="2"/>
  <c r="G13" i="2"/>
  <c r="F13" i="2"/>
  <c r="E13" i="2"/>
  <c r="D13" i="2"/>
  <c r="C13" i="2"/>
  <c r="B13" i="2"/>
  <c r="X12" i="2"/>
  <c r="X14" i="2" s="1"/>
  <c r="W12" i="2"/>
  <c r="X21" i="2" s="1"/>
  <c r="U12" i="2"/>
  <c r="T12" i="2"/>
  <c r="T14" i="2" s="1"/>
  <c r="X9" i="2"/>
  <c r="T9" i="2"/>
  <c r="P9" i="2"/>
  <c r="L9" i="2"/>
  <c r="AK8" i="2"/>
  <c r="AI8" i="2"/>
  <c r="AG8" i="2"/>
  <c r="AE8" i="2"/>
  <c r="AC8" i="2"/>
  <c r="AA8" i="2"/>
  <c r="X8" i="2"/>
  <c r="W8" i="2"/>
  <c r="V8" i="2"/>
  <c r="U8" i="2"/>
  <c r="T8" i="2"/>
  <c r="S8" i="2"/>
  <c r="R8" i="2"/>
  <c r="Q8" i="2"/>
  <c r="P8" i="2"/>
  <c r="O8" i="2"/>
  <c r="N8" i="2"/>
  <c r="M8" i="2"/>
  <c r="L8" i="2"/>
  <c r="K8" i="2"/>
  <c r="W9" i="2" s="1"/>
  <c r="J8" i="2"/>
  <c r="I8" i="2"/>
  <c r="H8" i="2"/>
  <c r="G8" i="2"/>
  <c r="F8" i="2"/>
  <c r="E8" i="2"/>
  <c r="D8" i="2"/>
  <c r="C8" i="2"/>
  <c r="B8" i="2"/>
  <c r="AL7" i="2"/>
  <c r="AI7" i="2"/>
  <c r="AH7" i="2"/>
  <c r="AE7" i="2"/>
  <c r="AD7" i="2"/>
  <c r="AA7" i="2"/>
  <c r="X7" i="2"/>
  <c r="W7" i="2"/>
  <c r="V7" i="2"/>
  <c r="U7" i="2"/>
  <c r="T7" i="2"/>
  <c r="S7" i="2"/>
  <c r="R7" i="2"/>
  <c r="Q7" i="2"/>
  <c r="P7" i="2"/>
  <c r="O7" i="2"/>
  <c r="N7" i="2"/>
  <c r="M7" i="2"/>
  <c r="L7" i="2"/>
  <c r="K7" i="2"/>
  <c r="J7" i="2"/>
  <c r="I7" i="2"/>
  <c r="H7" i="2"/>
  <c r="G7" i="2"/>
  <c r="F7" i="2"/>
  <c r="E7" i="2"/>
  <c r="D7" i="2"/>
  <c r="C7" i="2"/>
  <c r="B7" i="2"/>
  <c r="AK6" i="2"/>
  <c r="AI6" i="2"/>
  <c r="AG6" i="2"/>
  <c r="AE6" i="2"/>
  <c r="AC6" i="2"/>
  <c r="AA6" i="2"/>
  <c r="X6" i="2"/>
  <c r="W6" i="2"/>
  <c r="V6" i="2"/>
  <c r="U6" i="2"/>
  <c r="T6" i="2"/>
  <c r="S6" i="2"/>
  <c r="R6" i="2"/>
  <c r="Q6" i="2"/>
  <c r="P6" i="2"/>
  <c r="O6" i="2"/>
  <c r="N6" i="2"/>
  <c r="M6" i="2"/>
  <c r="L6" i="2"/>
  <c r="K6" i="2"/>
  <c r="J6" i="2"/>
  <c r="I6" i="2"/>
  <c r="H6" i="2"/>
  <c r="G6" i="2"/>
  <c r="F6" i="2"/>
  <c r="E6" i="2"/>
  <c r="D6" i="2"/>
  <c r="C6" i="2"/>
  <c r="B6" i="2"/>
  <c r="AL5" i="2"/>
  <c r="AK5" i="2"/>
  <c r="AJ5" i="2"/>
  <c r="AJ24" i="2" s="1"/>
  <c r="AI5" i="2"/>
  <c r="AH5" i="2"/>
  <c r="AI24" i="2" s="1"/>
  <c r="AG5" i="2"/>
  <c r="AF5" i="2"/>
  <c r="AF24" i="2" s="1"/>
  <c r="AE5" i="2"/>
  <c r="AD5" i="2"/>
  <c r="AE24" i="2" s="1"/>
  <c r="AC5" i="2"/>
  <c r="AB5" i="2"/>
  <c r="AB24" i="2" s="1"/>
  <c r="AA5" i="2"/>
  <c r="AL4" i="2"/>
  <c r="AL23" i="2" s="1"/>
  <c r="AK4" i="2"/>
  <c r="AJ4" i="2"/>
  <c r="AI4" i="2"/>
  <c r="AH4" i="2"/>
  <c r="AH23" i="2" s="1"/>
  <c r="AG4" i="2"/>
  <c r="AF4" i="2"/>
  <c r="AE4" i="2"/>
  <c r="AD4" i="2"/>
  <c r="AD23" i="2" s="1"/>
  <c r="AC4" i="2"/>
  <c r="AB4" i="2"/>
  <c r="AA4" i="2"/>
  <c r="AL3" i="2"/>
  <c r="AL8" i="2" s="1"/>
  <c r="AK3" i="2"/>
  <c r="AK7" i="2" s="1"/>
  <c r="AJ3" i="2"/>
  <c r="AI3" i="2"/>
  <c r="AI22" i="2" s="1"/>
  <c r="AH3" i="2"/>
  <c r="AH8" i="2" s="1"/>
  <c r="AG3" i="2"/>
  <c r="AG7" i="2" s="1"/>
  <c r="AF3" i="2"/>
  <c r="AE3" i="2"/>
  <c r="AE22" i="2" s="1"/>
  <c r="AD3" i="2"/>
  <c r="AD8" i="2" s="1"/>
  <c r="AC3" i="2"/>
  <c r="AC7" i="2" s="1"/>
  <c r="AB3" i="2"/>
  <c r="AA3" i="2"/>
  <c r="X141" i="1"/>
  <c r="T141" i="1"/>
  <c r="V136" i="1"/>
  <c r="AB133" i="1"/>
  <c r="AB130" i="1"/>
  <c r="AA130" i="1"/>
  <c r="Z130" i="1"/>
  <c r="Y130" i="1"/>
  <c r="AQ129" i="1"/>
  <c r="AP129" i="1"/>
  <c r="AO129" i="1"/>
  <c r="AN129" i="1"/>
  <c r="AM129" i="1"/>
  <c r="AL129" i="1"/>
  <c r="AK129" i="1"/>
  <c r="AJ129" i="1"/>
  <c r="AI129" i="1"/>
  <c r="AH129" i="1"/>
  <c r="AQ128" i="1"/>
  <c r="AP128" i="1"/>
  <c r="AO128" i="1"/>
  <c r="AN128" i="1"/>
  <c r="AM128" i="1"/>
  <c r="AL128" i="1"/>
  <c r="AK128" i="1"/>
  <c r="AJ128" i="1"/>
  <c r="AI128" i="1"/>
  <c r="AH128" i="1"/>
  <c r="AB128" i="1"/>
  <c r="AA128" i="1"/>
  <c r="Z128" i="1"/>
  <c r="Y128" i="1"/>
  <c r="X128" i="1"/>
  <c r="W128" i="1"/>
  <c r="V128" i="1"/>
  <c r="U128" i="1"/>
  <c r="T128" i="1"/>
  <c r="S128" i="1"/>
  <c r="AQ127" i="1"/>
  <c r="AP127" i="1"/>
  <c r="AO127" i="1"/>
  <c r="AN127" i="1"/>
  <c r="AM127" i="1"/>
  <c r="AL127" i="1"/>
  <c r="AK127" i="1"/>
  <c r="AJ127" i="1"/>
  <c r="AI127" i="1"/>
  <c r="AH127" i="1"/>
  <c r="Z127" i="1"/>
  <c r="Y127" i="1"/>
  <c r="X127" i="1"/>
  <c r="W127" i="1"/>
  <c r="V127" i="1"/>
  <c r="U127" i="1"/>
  <c r="T127" i="1"/>
  <c r="S127" i="1"/>
  <c r="AQ126" i="1"/>
  <c r="AP126" i="1"/>
  <c r="AO126" i="1"/>
  <c r="AN126" i="1"/>
  <c r="AM126" i="1"/>
  <c r="AL126" i="1"/>
  <c r="AK126" i="1"/>
  <c r="AJ126" i="1"/>
  <c r="AI126" i="1"/>
  <c r="AH126" i="1"/>
  <c r="Z125" i="1"/>
  <c r="Y125" i="1"/>
  <c r="V125" i="1"/>
  <c r="U125" i="1"/>
  <c r="T125" i="1"/>
  <c r="S125" i="1"/>
  <c r="AB124" i="1"/>
  <c r="AA124" i="1"/>
  <c r="Z124" i="1"/>
  <c r="Y124" i="1"/>
  <c r="Y126" i="1" s="1"/>
  <c r="X124" i="1"/>
  <c r="W124" i="1"/>
  <c r="V124" i="1"/>
  <c r="U124" i="1"/>
  <c r="U126" i="1" s="1"/>
  <c r="T124" i="1"/>
  <c r="S124" i="1"/>
  <c r="Z122" i="1"/>
  <c r="Z141" i="1" s="1"/>
  <c r="Y122" i="1"/>
  <c r="Y141" i="1" s="1"/>
  <c r="X122" i="1"/>
  <c r="W122" i="1"/>
  <c r="W141" i="1" s="1"/>
  <c r="V122" i="1"/>
  <c r="V141" i="1" s="1"/>
  <c r="U122" i="1"/>
  <c r="U141" i="1" s="1"/>
  <c r="T122" i="1"/>
  <c r="S122" i="1"/>
  <c r="S141" i="1" s="1"/>
  <c r="Z121" i="1"/>
  <c r="Y121" i="1"/>
  <c r="X121" i="1"/>
  <c r="W121" i="1"/>
  <c r="V121" i="1"/>
  <c r="U121" i="1"/>
  <c r="T121" i="1"/>
  <c r="S121" i="1"/>
  <c r="Z120" i="1"/>
  <c r="Y120" i="1"/>
  <c r="X120" i="1"/>
  <c r="W120" i="1"/>
  <c r="V120" i="1"/>
  <c r="U120" i="1"/>
  <c r="T120" i="1"/>
  <c r="S120" i="1"/>
  <c r="Z119" i="1"/>
  <c r="Y119" i="1"/>
  <c r="X119" i="1"/>
  <c r="W119" i="1"/>
  <c r="V119" i="1"/>
  <c r="U119" i="1"/>
  <c r="T119" i="1"/>
  <c r="S119" i="1"/>
  <c r="AB118" i="1"/>
  <c r="AB119" i="1" s="1"/>
  <c r="AB120" i="1" s="1"/>
  <c r="AB121" i="1" s="1"/>
  <c r="AB122" i="1" s="1"/>
  <c r="AB141" i="1" s="1"/>
  <c r="AA117" i="1"/>
  <c r="AA115" i="1"/>
  <c r="Z115" i="1"/>
  <c r="Y115" i="1"/>
  <c r="X115" i="1"/>
  <c r="V115" i="1"/>
  <c r="U115" i="1"/>
  <c r="T115" i="1"/>
  <c r="S115" i="1"/>
  <c r="AA114" i="1"/>
  <c r="Y114" i="1"/>
  <c r="W114" i="1"/>
  <c r="V114" i="1"/>
  <c r="U114" i="1"/>
  <c r="S114" i="1"/>
  <c r="AQ113" i="1"/>
  <c r="AP113" i="1"/>
  <c r="AO113" i="1"/>
  <c r="AN113" i="1"/>
  <c r="AM113" i="1"/>
  <c r="AL113" i="1"/>
  <c r="AK113" i="1"/>
  <c r="AJ113" i="1"/>
  <c r="AI113" i="1"/>
  <c r="AH113" i="1"/>
  <c r="AG113" i="1"/>
  <c r="AA113" i="1"/>
  <c r="AA136" i="1" s="1"/>
  <c r="Z113" i="1"/>
  <c r="Z136" i="1" s="1"/>
  <c r="Y113" i="1"/>
  <c r="Y136" i="1" s="1"/>
  <c r="V113" i="1"/>
  <c r="U113" i="1"/>
  <c r="U136" i="1" s="1"/>
  <c r="Z112" i="1"/>
  <c r="Y112" i="1"/>
  <c r="X112" i="1"/>
  <c r="W112" i="1"/>
  <c r="V112" i="1"/>
  <c r="AA111" i="1"/>
  <c r="Z111" i="1"/>
  <c r="Y111" i="1"/>
  <c r="X111" i="1"/>
  <c r="W111" i="1"/>
  <c r="V111" i="1"/>
  <c r="U111" i="1"/>
  <c r="T111" i="1"/>
  <c r="S111" i="1"/>
  <c r="Z110" i="1"/>
  <c r="X110" i="1"/>
  <c r="W110" i="1"/>
  <c r="V110" i="1"/>
  <c r="S110" i="1"/>
  <c r="Z109" i="1"/>
  <c r="Y109" i="1"/>
  <c r="X109" i="1"/>
  <c r="W109" i="1"/>
  <c r="V109" i="1"/>
  <c r="U109" i="1"/>
  <c r="T109" i="1"/>
  <c r="S109" i="1"/>
  <c r="AB107" i="1"/>
  <c r="AA107" i="1"/>
  <c r="Z107" i="1"/>
  <c r="Y107" i="1"/>
  <c r="X107" i="1"/>
  <c r="W107" i="1"/>
  <c r="V107" i="1"/>
  <c r="U107" i="1"/>
  <c r="T107" i="1"/>
  <c r="S107" i="1"/>
  <c r="AB106" i="1"/>
  <c r="Z106" i="1"/>
  <c r="Y106" i="1"/>
  <c r="X106" i="1"/>
  <c r="W106" i="1"/>
  <c r="V106" i="1"/>
  <c r="U106" i="1"/>
  <c r="T106" i="1"/>
  <c r="S106" i="1"/>
  <c r="AB105" i="1"/>
  <c r="AA105" i="1"/>
  <c r="Z105" i="1"/>
  <c r="Y105" i="1"/>
  <c r="X105" i="1"/>
  <c r="W105" i="1"/>
  <c r="V105" i="1"/>
  <c r="U105" i="1"/>
  <c r="T105" i="1"/>
  <c r="S105" i="1"/>
  <c r="AA104" i="1"/>
  <c r="AA138" i="1" s="1"/>
  <c r="AA137" i="1" s="1"/>
  <c r="Z104" i="1"/>
  <c r="Z138" i="1" s="1"/>
  <c r="Z137" i="1" s="1"/>
  <c r="Y104" i="1"/>
  <c r="Y138" i="1" s="1"/>
  <c r="X104" i="1"/>
  <c r="X138" i="1" s="1"/>
  <c r="W104" i="1"/>
  <c r="W138" i="1" s="1"/>
  <c r="V104" i="1"/>
  <c r="V138" i="1" s="1"/>
  <c r="U104" i="1"/>
  <c r="U138" i="1" s="1"/>
  <c r="T104" i="1"/>
  <c r="T138" i="1" s="1"/>
  <c r="S104" i="1"/>
  <c r="S138" i="1" s="1"/>
  <c r="K81" i="1"/>
  <c r="J81" i="1"/>
  <c r="I81" i="1"/>
  <c r="H81" i="1"/>
  <c r="G81" i="1"/>
  <c r="F81" i="1"/>
  <c r="E81" i="1"/>
  <c r="D81" i="1"/>
  <c r="C81" i="1"/>
  <c r="R78" i="1"/>
  <c r="K78" i="1"/>
  <c r="J78" i="1"/>
  <c r="I78" i="1"/>
  <c r="H78" i="1"/>
  <c r="G78" i="1"/>
  <c r="E78" i="1"/>
  <c r="D78" i="1"/>
  <c r="C78" i="1"/>
  <c r="R77" i="1"/>
  <c r="N77" i="1"/>
  <c r="M77" i="1"/>
  <c r="M78" i="1" s="1"/>
  <c r="L77" i="1"/>
  <c r="R76" i="1"/>
  <c r="N76" i="1"/>
  <c r="M76" i="1"/>
  <c r="L76" i="1"/>
  <c r="R75" i="1"/>
  <c r="N75" i="1"/>
  <c r="N78" i="1" s="1"/>
  <c r="M75" i="1"/>
  <c r="L75" i="1"/>
  <c r="Z74" i="1"/>
  <c r="Y74" i="1"/>
  <c r="X74" i="1"/>
  <c r="W74" i="1"/>
  <c r="V74" i="1"/>
  <c r="U74" i="1"/>
  <c r="S74" i="1"/>
  <c r="AB74" i="1" s="1"/>
  <c r="R74" i="1"/>
  <c r="AA74" i="1" s="1"/>
  <c r="F74" i="1"/>
  <c r="T74" i="1" s="1"/>
  <c r="Z73" i="1"/>
  <c r="Y73" i="1"/>
  <c r="X73" i="1"/>
  <c r="W73" i="1"/>
  <c r="V73" i="1"/>
  <c r="U73" i="1"/>
  <c r="T73" i="1"/>
  <c r="S73" i="1"/>
  <c r="AB73" i="1" s="1"/>
  <c r="R73" i="1"/>
  <c r="AA73" i="1" s="1"/>
  <c r="K72" i="1"/>
  <c r="J72" i="1"/>
  <c r="I72" i="1"/>
  <c r="H72" i="1"/>
  <c r="G72" i="1"/>
  <c r="F72" i="1"/>
  <c r="E72" i="1"/>
  <c r="D72" i="1"/>
  <c r="C72" i="1"/>
  <c r="AB71" i="1"/>
  <c r="AA71" i="1"/>
  <c r="Y71" i="1"/>
  <c r="Y70" i="1"/>
  <c r="AB70" i="1"/>
  <c r="AA70" i="1"/>
  <c r="Z70" i="1"/>
  <c r="R69" i="1"/>
  <c r="R68" i="1"/>
  <c r="R67" i="1"/>
  <c r="V66" i="1"/>
  <c r="U66" i="1"/>
  <c r="T66" i="1"/>
  <c r="S66" i="1"/>
  <c r="R66" i="1"/>
  <c r="R65" i="1"/>
  <c r="R64" i="1"/>
  <c r="R63" i="1"/>
  <c r="V62" i="1"/>
  <c r="U62" i="1"/>
  <c r="T62" i="1"/>
  <c r="S62" i="1"/>
  <c r="R62" i="1"/>
  <c r="R61" i="1"/>
  <c r="R60" i="1"/>
  <c r="R59" i="1"/>
  <c r="R58" i="1"/>
  <c r="R57" i="1"/>
  <c r="R56" i="1"/>
  <c r="R55" i="1"/>
  <c r="Y54" i="1"/>
  <c r="X54" i="1"/>
  <c r="W54" i="1"/>
  <c r="V54" i="1"/>
  <c r="U54" i="1"/>
  <c r="T54" i="1"/>
  <c r="S54" i="1"/>
  <c r="R54" i="1"/>
  <c r="R53" i="1"/>
  <c r="AB52" i="1"/>
  <c r="AA52" i="1"/>
  <c r="Z52" i="1"/>
  <c r="Y52" i="1"/>
  <c r="X52" i="1"/>
  <c r="W52" i="1"/>
  <c r="V52" i="1"/>
  <c r="U52" i="1"/>
  <c r="T52" i="1"/>
  <c r="S52" i="1"/>
  <c r="R52" i="1"/>
  <c r="AB51" i="1"/>
  <c r="Y51" i="1"/>
  <c r="AA51" i="1"/>
  <c r="Z51" i="1"/>
  <c r="R50" i="1"/>
  <c r="AB49" i="1"/>
  <c r="Y49" i="1"/>
  <c r="AA49" i="1"/>
  <c r="Z49" i="1"/>
  <c r="R48" i="1"/>
  <c r="R47" i="1"/>
  <c r="R46" i="1"/>
  <c r="R45" i="1"/>
  <c r="R44" i="1"/>
  <c r="R43" i="1"/>
  <c r="R42" i="1"/>
  <c r="R41" i="1"/>
  <c r="R40" i="1"/>
  <c r="R39" i="1"/>
  <c r="R38" i="1"/>
  <c r="R37" i="1"/>
  <c r="R36" i="1"/>
  <c r="R35" i="1"/>
  <c r="R34" i="1"/>
  <c r="R33" i="1"/>
  <c r="R32" i="1"/>
  <c r="R31" i="1"/>
  <c r="R30" i="1"/>
  <c r="R29" i="1"/>
  <c r="R28" i="1"/>
  <c r="N72" i="1"/>
  <c r="M72" i="1"/>
  <c r="R27" i="1"/>
  <c r="M81" i="1"/>
  <c r="K26" i="1"/>
  <c r="J26" i="1"/>
  <c r="I26" i="1"/>
  <c r="H26" i="1"/>
  <c r="G26" i="1"/>
  <c r="F26" i="1"/>
  <c r="E26" i="1"/>
  <c r="D26" i="1"/>
  <c r="R26" i="1" s="1"/>
  <c r="C26" i="1"/>
  <c r="N26" i="1"/>
  <c r="M26" i="1"/>
  <c r="L26" i="1"/>
  <c r="S126" i="1" l="1"/>
  <c r="T139" i="1"/>
  <c r="T137" i="1" s="1"/>
  <c r="X139" i="1"/>
  <c r="X137" i="1" s="1"/>
  <c r="U139" i="1"/>
  <c r="Y139" i="1"/>
  <c r="T126" i="1"/>
  <c r="Z126" i="1"/>
  <c r="V126" i="1"/>
  <c r="C79" i="1"/>
  <c r="J12" i="2" s="1"/>
  <c r="D79" i="1"/>
  <c r="H79" i="1"/>
  <c r="O12" i="2" s="1"/>
  <c r="O17" i="2" s="1"/>
  <c r="K12" i="2"/>
  <c r="K13" i="2" s="1"/>
  <c r="R85" i="1"/>
  <c r="R72" i="1"/>
  <c r="J79" i="1"/>
  <c r="X85" i="1" s="1"/>
  <c r="G79" i="1"/>
  <c r="N12" i="2" s="1"/>
  <c r="O21" i="2" s="1"/>
  <c r="K79" i="1"/>
  <c r="H174" i="8" a="1"/>
  <c r="H174" i="8" s="1"/>
  <c r="K47" i="8"/>
  <c r="N47" i="8" s="1"/>
  <c r="F171" i="8" a="1"/>
  <c r="F171" i="8" s="1"/>
  <c r="C176" i="8" a="1"/>
  <c r="C176" i="8" s="1"/>
  <c r="D179" i="8" a="1"/>
  <c r="D179" i="8" s="1"/>
  <c r="O6" i="8"/>
  <c r="M49" i="8"/>
  <c r="B28" i="8" s="1"/>
  <c r="H49" i="8"/>
  <c r="I53" i="8"/>
  <c r="K53" i="8" s="1"/>
  <c r="D175" i="8" a="1"/>
  <c r="D175" i="8" s="1"/>
  <c r="E173" i="8" a="1"/>
  <c r="E173" i="8" s="1"/>
  <c r="E177" i="8" a="1"/>
  <c r="E177" i="8" s="1"/>
  <c r="E181" i="8" a="1"/>
  <c r="E181" i="8" s="1"/>
  <c r="K48" i="8"/>
  <c r="N48" i="8" s="1"/>
  <c r="K54" i="8"/>
  <c r="B174" i="8" a="1"/>
  <c r="B174" i="8" s="1"/>
  <c r="H178" i="8" a="1"/>
  <c r="H178" i="8" s="1"/>
  <c r="H182" i="8" a="1"/>
  <c r="H182" i="8" s="1"/>
  <c r="G112" i="6"/>
  <c r="G95" i="6"/>
  <c r="X32" i="6" s="1"/>
  <c r="V17" i="2"/>
  <c r="V18" i="2" s="1"/>
  <c r="V13" i="2"/>
  <c r="T17" i="2"/>
  <c r="T18" i="2" s="1"/>
  <c r="X17" i="2"/>
  <c r="X18" i="2" s="1"/>
  <c r="K95" i="6"/>
  <c r="W32" i="6" s="1"/>
  <c r="D102" i="7"/>
  <c r="W17" i="2"/>
  <c r="W18" i="2" s="1"/>
  <c r="AI36" i="6"/>
  <c r="AJ36" i="6" s="1"/>
  <c r="AK36" i="6" s="1"/>
  <c r="AL36" i="6" s="1"/>
  <c r="U74" i="2"/>
  <c r="Q74" i="2"/>
  <c r="M74" i="2"/>
  <c r="X74" i="2"/>
  <c r="T74" i="2"/>
  <c r="P74" i="2"/>
  <c r="L74" i="2"/>
  <c r="W74" i="2"/>
  <c r="S74" i="2"/>
  <c r="O74" i="2"/>
  <c r="V74" i="2"/>
  <c r="R74" i="2"/>
  <c r="N74" i="2"/>
  <c r="M79" i="1"/>
  <c r="AA85" i="1" s="1"/>
  <c r="N79" i="1"/>
  <c r="AB85" i="1" s="1"/>
  <c r="R12" i="2"/>
  <c r="Y85" i="1"/>
  <c r="O18" i="2"/>
  <c r="F78" i="1"/>
  <c r="F79" i="1" s="1"/>
  <c r="J17" i="2"/>
  <c r="AA17" i="2" s="1"/>
  <c r="AA18" i="2" s="1"/>
  <c r="J14" i="2"/>
  <c r="AG116" i="1"/>
  <c r="J21" i="2"/>
  <c r="H102" i="3"/>
  <c r="V102" i="3" s="1"/>
  <c r="V77" i="3"/>
  <c r="L72" i="1"/>
  <c r="R79" i="1"/>
  <c r="R81" i="1" s="1"/>
  <c r="R82" i="1" s="1"/>
  <c r="V71" i="2"/>
  <c r="R71" i="2"/>
  <c r="N71" i="2"/>
  <c r="U71" i="2"/>
  <c r="Q71" i="2"/>
  <c r="M71" i="2"/>
  <c r="X71" i="2"/>
  <c r="T71" i="2"/>
  <c r="P71" i="2"/>
  <c r="L71" i="2"/>
  <c r="S87" i="2"/>
  <c r="S70" i="2"/>
  <c r="W71" i="2"/>
  <c r="AM45" i="3"/>
  <c r="F104" i="3"/>
  <c r="T104" i="3" s="1"/>
  <c r="T54" i="3"/>
  <c r="D92" i="3"/>
  <c r="R92" i="3" s="1"/>
  <c r="H92" i="3"/>
  <c r="V92" i="3" s="1"/>
  <c r="E95" i="3"/>
  <c r="S95" i="3" s="1"/>
  <c r="I95" i="3"/>
  <c r="W95" i="3" s="1"/>
  <c r="D106" i="3"/>
  <c r="R106" i="3" s="1"/>
  <c r="R81" i="3"/>
  <c r="H106" i="3"/>
  <c r="V106" i="3" s="1"/>
  <c r="V81" i="3"/>
  <c r="H99" i="3"/>
  <c r="V99" i="3" s="1"/>
  <c r="Q209" i="3"/>
  <c r="R209" i="3"/>
  <c r="U209" i="3"/>
  <c r="V209" i="3"/>
  <c r="Y209" i="3"/>
  <c r="Z209" i="3"/>
  <c r="EU12" i="5"/>
  <c r="EU16" i="5"/>
  <c r="T18" i="5"/>
  <c r="S18" i="5"/>
  <c r="R19" i="5"/>
  <c r="D99" i="3"/>
  <c r="R99" i="3" s="1"/>
  <c r="R74" i="3"/>
  <c r="D102" i="3"/>
  <c r="R102" i="3" s="1"/>
  <c r="R77" i="3"/>
  <c r="L78" i="1"/>
  <c r="L79" i="1" s="1"/>
  <c r="L81" i="1"/>
  <c r="AB104" i="1"/>
  <c r="AB138" i="1" s="1"/>
  <c r="AB137" i="1" s="1"/>
  <c r="V139" i="1"/>
  <c r="V137" i="1" s="1"/>
  <c r="Z139" i="1"/>
  <c r="AA122" i="1"/>
  <c r="AA141" i="1" s="1"/>
  <c r="AA120" i="1"/>
  <c r="AA118" i="1"/>
  <c r="AA142" i="1"/>
  <c r="AA140" i="1"/>
  <c r="AA119" i="1"/>
  <c r="AB7" i="2"/>
  <c r="AB8" i="2"/>
  <c r="AF7" i="2"/>
  <c r="AF8" i="2"/>
  <c r="AJ7" i="2"/>
  <c r="AJ8" i="2"/>
  <c r="AB6" i="2"/>
  <c r="AC23" i="2"/>
  <c r="AB23" i="2"/>
  <c r="AF6" i="2"/>
  <c r="AG23" i="2"/>
  <c r="AF23" i="2"/>
  <c r="AJ6" i="2"/>
  <c r="AK23" i="2"/>
  <c r="AJ23" i="2"/>
  <c r="J13" i="2"/>
  <c r="AF22" i="2"/>
  <c r="U4" i="3"/>
  <c r="U7" i="3"/>
  <c r="Y4" i="3"/>
  <c r="Y7" i="3"/>
  <c r="AE39" i="3"/>
  <c r="AM41" i="3"/>
  <c r="H103" i="3"/>
  <c r="V103" i="3" s="1"/>
  <c r="V53" i="3"/>
  <c r="AI58" i="3"/>
  <c r="D87" i="3"/>
  <c r="R87" i="3" s="1"/>
  <c r="H87" i="3"/>
  <c r="V87" i="3" s="1"/>
  <c r="D90" i="3"/>
  <c r="R90" i="3" s="1"/>
  <c r="R65" i="3"/>
  <c r="H90" i="3"/>
  <c r="V90" i="3" s="1"/>
  <c r="V65" i="3"/>
  <c r="H93" i="3"/>
  <c r="V93" i="3" s="1"/>
  <c r="D96" i="3"/>
  <c r="R96" i="3" s="1"/>
  <c r="H96" i="3"/>
  <c r="V96" i="3" s="1"/>
  <c r="C97" i="3"/>
  <c r="Q97" i="3" s="1"/>
  <c r="G97" i="3"/>
  <c r="U97" i="3" s="1"/>
  <c r="T252" i="3"/>
  <c r="U252" i="3"/>
  <c r="X252" i="3"/>
  <c r="Y252" i="3"/>
  <c r="O13" i="2"/>
  <c r="AG115" i="1"/>
  <c r="O14" i="2"/>
  <c r="N81" i="1"/>
  <c r="E79" i="1"/>
  <c r="I79" i="1"/>
  <c r="V85" i="1"/>
  <c r="S139" i="1"/>
  <c r="S59" i="1" s="1"/>
  <c r="W139" i="1"/>
  <c r="W137" i="1" s="1"/>
  <c r="AA139" i="1"/>
  <c r="AB115" i="1"/>
  <c r="AA121" i="1"/>
  <c r="AC24" i="2"/>
  <c r="AG24" i="2"/>
  <c r="AK24" i="2"/>
  <c r="U21" i="2"/>
  <c r="U13" i="2"/>
  <c r="U17" i="2"/>
  <c r="U18" i="2" s="1"/>
  <c r="U14" i="2"/>
  <c r="AA12" i="2"/>
  <c r="V21" i="2"/>
  <c r="AJ22" i="2"/>
  <c r="O71" i="2"/>
  <c r="O73" i="2"/>
  <c r="S73" i="2"/>
  <c r="W73" i="2"/>
  <c r="R4" i="3"/>
  <c r="Z4" i="3"/>
  <c r="T5" i="3"/>
  <c r="T8" i="3"/>
  <c r="T4" i="3"/>
  <c r="X5" i="3"/>
  <c r="X8" i="3"/>
  <c r="X4" i="3"/>
  <c r="Q6" i="3"/>
  <c r="U6" i="3"/>
  <c r="Y6" i="3"/>
  <c r="U8" i="3"/>
  <c r="Y8" i="3"/>
  <c r="V8" i="3"/>
  <c r="D94" i="3"/>
  <c r="R94" i="3" s="1"/>
  <c r="R69" i="3"/>
  <c r="H94" i="3"/>
  <c r="V94" i="3" s="1"/>
  <c r="V69" i="3"/>
  <c r="Q237" i="3"/>
  <c r="R237" i="3"/>
  <c r="U237" i="3"/>
  <c r="V237" i="3"/>
  <c r="Y237" i="3"/>
  <c r="Z237" i="3"/>
  <c r="AD6" i="2"/>
  <c r="AH6" i="2"/>
  <c r="AL6" i="2"/>
  <c r="M9" i="2"/>
  <c r="Q9" i="2"/>
  <c r="U9" i="2"/>
  <c r="W13" i="2"/>
  <c r="I18" i="2"/>
  <c r="W21" i="2"/>
  <c r="AC22" i="2"/>
  <c r="AG22" i="2"/>
  <c r="AK22" i="2"/>
  <c r="D76" i="2"/>
  <c r="H76" i="2"/>
  <c r="L76" i="2"/>
  <c r="P76" i="2"/>
  <c r="T76" i="2"/>
  <c r="X76" i="2"/>
  <c r="M76" i="2"/>
  <c r="V5" i="3"/>
  <c r="Z6" i="3"/>
  <c r="B50" i="3"/>
  <c r="P50" i="3" s="1"/>
  <c r="AE50" i="3"/>
  <c r="AI52" i="3"/>
  <c r="AM53" i="3"/>
  <c r="AM56" i="3"/>
  <c r="C88" i="3"/>
  <c r="Q88" i="3" s="1"/>
  <c r="G88" i="3"/>
  <c r="U88" i="3" s="1"/>
  <c r="V63" i="3"/>
  <c r="E90" i="3"/>
  <c r="S90" i="3" s="1"/>
  <c r="I90" i="3"/>
  <c r="W90" i="3" s="1"/>
  <c r="C92" i="3"/>
  <c r="Q92" i="3" s="1"/>
  <c r="G92" i="3"/>
  <c r="U92" i="3" s="1"/>
  <c r="V67" i="3"/>
  <c r="V71" i="3"/>
  <c r="V79" i="3"/>
  <c r="V83" i="3"/>
  <c r="B87" i="3"/>
  <c r="P87" i="3" s="1"/>
  <c r="F87" i="3"/>
  <c r="T87" i="3" s="1"/>
  <c r="J87" i="3"/>
  <c r="X87" i="3" s="1"/>
  <c r="B89" i="3"/>
  <c r="P89" i="3" s="1"/>
  <c r="F89" i="3"/>
  <c r="T89" i="3" s="1"/>
  <c r="J89" i="3"/>
  <c r="X89" i="3" s="1"/>
  <c r="B90" i="3"/>
  <c r="P90" i="3" s="1"/>
  <c r="F90" i="3"/>
  <c r="T90" i="3" s="1"/>
  <c r="J90" i="3"/>
  <c r="X90" i="3" s="1"/>
  <c r="B91" i="3"/>
  <c r="P91" i="3" s="1"/>
  <c r="F91" i="3"/>
  <c r="T91" i="3" s="1"/>
  <c r="J91" i="3"/>
  <c r="X91" i="3" s="1"/>
  <c r="B93" i="3"/>
  <c r="P93" i="3" s="1"/>
  <c r="F93" i="3"/>
  <c r="T93" i="3" s="1"/>
  <c r="B94" i="3"/>
  <c r="P94" i="3" s="1"/>
  <c r="F94" i="3"/>
  <c r="T94" i="3" s="1"/>
  <c r="J94" i="3"/>
  <c r="X94" i="3" s="1"/>
  <c r="B95" i="3"/>
  <c r="P95" i="3" s="1"/>
  <c r="F95" i="3"/>
  <c r="T95" i="3" s="1"/>
  <c r="J95" i="3"/>
  <c r="X95" i="3" s="1"/>
  <c r="S169" i="3"/>
  <c r="T169" i="3"/>
  <c r="W169" i="3"/>
  <c r="X169" i="3"/>
  <c r="Q179" i="3"/>
  <c r="R179" i="3"/>
  <c r="Y179" i="3"/>
  <c r="Z179" i="3"/>
  <c r="Q219" i="3"/>
  <c r="R219" i="3"/>
  <c r="Y219" i="3"/>
  <c r="Z219" i="3"/>
  <c r="Q245" i="3"/>
  <c r="R245" i="3"/>
  <c r="Y245" i="3"/>
  <c r="Z245" i="3"/>
  <c r="R258" i="3"/>
  <c r="S258" i="3"/>
  <c r="V258" i="3"/>
  <c r="W258" i="3"/>
  <c r="EG19" i="4"/>
  <c r="AB140" i="1"/>
  <c r="AB142" i="1"/>
  <c r="N9" i="2"/>
  <c r="R9" i="2"/>
  <c r="V9" i="2"/>
  <c r="AD22" i="2"/>
  <c r="AH22" i="2"/>
  <c r="AL22" i="2"/>
  <c r="Q48" i="3"/>
  <c r="C50" i="3"/>
  <c r="Q50" i="3" s="1"/>
  <c r="AI50" i="3"/>
  <c r="P55" i="3"/>
  <c r="X55" i="3"/>
  <c r="AE57" i="3"/>
  <c r="AI4" i="6"/>
  <c r="AM59" i="3"/>
  <c r="B99" i="3"/>
  <c r="P99" i="3" s="1"/>
  <c r="F99" i="3"/>
  <c r="T99" i="3" s="1"/>
  <c r="J99" i="3"/>
  <c r="X99" i="3" s="1"/>
  <c r="E100" i="3"/>
  <c r="S100" i="3" s="1"/>
  <c r="I100" i="3"/>
  <c r="W100" i="3" s="1"/>
  <c r="D89" i="3"/>
  <c r="R89" i="3" s="1"/>
  <c r="D93" i="3"/>
  <c r="R93" i="3" s="1"/>
  <c r="D97" i="3"/>
  <c r="R97" i="3" s="1"/>
  <c r="T162" i="3"/>
  <c r="U162" i="3"/>
  <c r="X162" i="3"/>
  <c r="Y162" i="3"/>
  <c r="Q189" i="3"/>
  <c r="R189" i="3"/>
  <c r="Y189" i="3"/>
  <c r="Z189" i="3"/>
  <c r="V197" i="3"/>
  <c r="V227" i="3"/>
  <c r="Q249" i="3"/>
  <c r="R249" i="3"/>
  <c r="Y249" i="3"/>
  <c r="Z249" i="3"/>
  <c r="EG13" i="4"/>
  <c r="Z129" i="1" s="1"/>
  <c r="Z71" i="1"/>
  <c r="O9" i="2"/>
  <c r="S9" i="2"/>
  <c r="V14" i="2"/>
  <c r="AI45" i="3"/>
  <c r="AE55" i="3"/>
  <c r="AE58" i="3"/>
  <c r="T58" i="3"/>
  <c r="E88" i="3"/>
  <c r="S88" i="3" s="1"/>
  <c r="I88" i="3"/>
  <c r="W88" i="3" s="1"/>
  <c r="C90" i="3"/>
  <c r="Q90" i="3" s="1"/>
  <c r="G90" i="3"/>
  <c r="U90" i="3" s="1"/>
  <c r="E92" i="3"/>
  <c r="S92" i="3" s="1"/>
  <c r="I92" i="3"/>
  <c r="W92" i="3" s="1"/>
  <c r="C94" i="3"/>
  <c r="Q94" i="3" s="1"/>
  <c r="G94" i="3"/>
  <c r="U94" i="3" s="1"/>
  <c r="E96" i="3"/>
  <c r="S96" i="3" s="1"/>
  <c r="I96" i="3"/>
  <c r="W96" i="3" s="1"/>
  <c r="C98" i="3"/>
  <c r="C99" i="3"/>
  <c r="Q99" i="3" s="1"/>
  <c r="G99" i="3"/>
  <c r="U99" i="3" s="1"/>
  <c r="F100" i="3"/>
  <c r="T100" i="3" s="1"/>
  <c r="J100" i="3"/>
  <c r="X100" i="3" s="1"/>
  <c r="R75" i="3"/>
  <c r="D103" i="3"/>
  <c r="R103" i="3" s="1"/>
  <c r="R80" i="3"/>
  <c r="R84" i="3"/>
  <c r="B104" i="3"/>
  <c r="P104" i="3" s="1"/>
  <c r="J104" i="3"/>
  <c r="X104" i="3" s="1"/>
  <c r="F105" i="3"/>
  <c r="T105" i="3" s="1"/>
  <c r="B108" i="3"/>
  <c r="P108" i="3" s="1"/>
  <c r="J108" i="3"/>
  <c r="X108" i="3" s="1"/>
  <c r="R168" i="3"/>
  <c r="S168" i="3"/>
  <c r="V168" i="3"/>
  <c r="W168" i="3"/>
  <c r="T170" i="3"/>
  <c r="U170" i="3"/>
  <c r="X170" i="3"/>
  <c r="Y170" i="3"/>
  <c r="Q197" i="3"/>
  <c r="R197" i="3"/>
  <c r="Y197" i="3"/>
  <c r="Z197" i="3"/>
  <c r="Q227" i="3"/>
  <c r="R227" i="3"/>
  <c r="Y227" i="3"/>
  <c r="Z227" i="3"/>
  <c r="S259" i="3"/>
  <c r="T259" i="3"/>
  <c r="W259" i="3"/>
  <c r="X259" i="3"/>
  <c r="CN6" i="4"/>
  <c r="CM6" i="4"/>
  <c r="CN10" i="4"/>
  <c r="CM10" i="4"/>
  <c r="CM14" i="4"/>
  <c r="CN14" i="4"/>
  <c r="CF15" i="4"/>
  <c r="CI20" i="4" s="1"/>
  <c r="CF14" i="4"/>
  <c r="CI19" i="4" s="1"/>
  <c r="P59" i="3"/>
  <c r="X59" i="3"/>
  <c r="X114" i="1" s="1"/>
  <c r="S62" i="3"/>
  <c r="W62" i="3"/>
  <c r="S63" i="3"/>
  <c r="W63" i="3"/>
  <c r="S64" i="3"/>
  <c r="W64" i="3"/>
  <c r="S65" i="3"/>
  <c r="W65" i="3"/>
  <c r="S66" i="3"/>
  <c r="W66" i="3"/>
  <c r="S67" i="3"/>
  <c r="W67" i="3"/>
  <c r="S68" i="3"/>
  <c r="W68" i="3"/>
  <c r="S69" i="3"/>
  <c r="W69" i="3"/>
  <c r="S70" i="3"/>
  <c r="W70" i="3"/>
  <c r="S71" i="3"/>
  <c r="W71" i="3"/>
  <c r="S72" i="3"/>
  <c r="W72" i="3"/>
  <c r="S74" i="3"/>
  <c r="W74" i="3"/>
  <c r="S75" i="3"/>
  <c r="W75" i="3"/>
  <c r="E102" i="3"/>
  <c r="S102" i="3" s="1"/>
  <c r="I102" i="3"/>
  <c r="W102" i="3" s="1"/>
  <c r="S77" i="3"/>
  <c r="W77" i="3"/>
  <c r="S78" i="3"/>
  <c r="W78" i="3"/>
  <c r="E104" i="3"/>
  <c r="S104" i="3" s="1"/>
  <c r="I104" i="3"/>
  <c r="W104" i="3" s="1"/>
  <c r="S79" i="3"/>
  <c r="W79" i="3"/>
  <c r="E105" i="3"/>
  <c r="S105" i="3" s="1"/>
  <c r="I105" i="3"/>
  <c r="W105" i="3" s="1"/>
  <c r="S80" i="3"/>
  <c r="W80" i="3"/>
  <c r="E106" i="3"/>
  <c r="S106" i="3" s="1"/>
  <c r="I106" i="3"/>
  <c r="W106" i="3" s="1"/>
  <c r="S81" i="3"/>
  <c r="W81" i="3"/>
  <c r="S82" i="3"/>
  <c r="W82" i="3"/>
  <c r="E108" i="3"/>
  <c r="S108" i="3" s="1"/>
  <c r="I108" i="3"/>
  <c r="W108" i="3" s="1"/>
  <c r="S83" i="3"/>
  <c r="W83" i="3"/>
  <c r="E109" i="3"/>
  <c r="S109" i="3" s="1"/>
  <c r="I109" i="3"/>
  <c r="W109" i="3" s="1"/>
  <c r="S84" i="3"/>
  <c r="W84" i="3"/>
  <c r="B103" i="3"/>
  <c r="P103" i="3" s="1"/>
  <c r="J103" i="3"/>
  <c r="X103" i="3" s="1"/>
  <c r="B107" i="3"/>
  <c r="P107" i="3" s="1"/>
  <c r="J107" i="3"/>
  <c r="X107" i="3" s="1"/>
  <c r="V163" i="3"/>
  <c r="V171" i="3"/>
  <c r="X177" i="3"/>
  <c r="Y178" i="3"/>
  <c r="S184" i="3"/>
  <c r="S113" i="1" s="1"/>
  <c r="S136" i="1" s="1"/>
  <c r="X187" i="3"/>
  <c r="Y188" i="3"/>
  <c r="S194" i="3"/>
  <c r="X195" i="3"/>
  <c r="Y196" i="3"/>
  <c r="S206" i="3"/>
  <c r="X207" i="3"/>
  <c r="Y208" i="3"/>
  <c r="S216" i="3"/>
  <c r="X217" i="3"/>
  <c r="Y218" i="3"/>
  <c r="S232" i="3"/>
  <c r="X233" i="3"/>
  <c r="Y234" i="3"/>
  <c r="S242" i="3"/>
  <c r="X243" i="3"/>
  <c r="Y244" i="3"/>
  <c r="V253" i="3"/>
  <c r="F269" i="3"/>
  <c r="W115" i="1" s="1"/>
  <c r="CN11" i="4"/>
  <c r="CM11" i="4"/>
  <c r="CN15" i="4"/>
  <c r="CN18" i="4"/>
  <c r="CN7" i="4"/>
  <c r="EA8" i="4"/>
  <c r="DZ8" i="4"/>
  <c r="CF8" i="4"/>
  <c r="Z30" i="4"/>
  <c r="W125" i="1" s="1"/>
  <c r="W126" i="1" s="1"/>
  <c r="W17" i="4" a="1"/>
  <c r="F27" i="8"/>
  <c r="AD30" i="4"/>
  <c r="AA125" i="1" s="1"/>
  <c r="AA126" i="1" s="1"/>
  <c r="DE29" i="5"/>
  <c r="EU42" i="5"/>
  <c r="EY47" i="5"/>
  <c r="EY51" i="5"/>
  <c r="ET48" i="5"/>
  <c r="ET52" i="5"/>
  <c r="P74" i="3"/>
  <c r="T74" i="3"/>
  <c r="X74" i="3"/>
  <c r="T75" i="3"/>
  <c r="X75" i="3"/>
  <c r="B98" i="3"/>
  <c r="Z163" i="3"/>
  <c r="R167" i="3"/>
  <c r="Z171" i="3"/>
  <c r="U174" i="3"/>
  <c r="V175" i="3"/>
  <c r="T181" i="3"/>
  <c r="U182" i="3"/>
  <c r="V183" i="3"/>
  <c r="W184" i="3"/>
  <c r="W113" i="1" s="1"/>
  <c r="W136" i="1" s="1"/>
  <c r="T191" i="3"/>
  <c r="U192" i="3"/>
  <c r="V193" i="3"/>
  <c r="W194" i="3"/>
  <c r="T199" i="3"/>
  <c r="U200" i="3"/>
  <c r="T203" i="3"/>
  <c r="U204" i="3"/>
  <c r="V205" i="3"/>
  <c r="W206" i="3"/>
  <c r="T213" i="3"/>
  <c r="U214" i="3"/>
  <c r="V215" i="3"/>
  <c r="W216" i="3"/>
  <c r="T221" i="3"/>
  <c r="U222" i="3"/>
  <c r="T225" i="3"/>
  <c r="T229" i="3"/>
  <c r="U230" i="3"/>
  <c r="V231" i="3"/>
  <c r="W232" i="3"/>
  <c r="T239" i="3"/>
  <c r="U240" i="3"/>
  <c r="V241" i="3"/>
  <c r="W242" i="3"/>
  <c r="T247" i="3"/>
  <c r="Z253" i="3"/>
  <c r="R257" i="3"/>
  <c r="CN8" i="4"/>
  <c r="CM8" i="4"/>
  <c r="CN12" i="4"/>
  <c r="CM12" i="4"/>
  <c r="CN16" i="4"/>
  <c r="CM16" i="4"/>
  <c r="CM15" i="4"/>
  <c r="AA20" i="5"/>
  <c r="Y21" i="5"/>
  <c r="Z20" i="5"/>
  <c r="S118" i="1" s="1"/>
  <c r="EU24" i="5"/>
  <c r="EU20" i="5"/>
  <c r="EY31" i="5"/>
  <c r="EU40" i="5"/>
  <c r="EU36" i="5"/>
  <c r="CA52" i="5"/>
  <c r="BX53" i="5"/>
  <c r="CH53" i="5"/>
  <c r="CI52" i="5"/>
  <c r="EU59" i="5"/>
  <c r="EU63" i="5"/>
  <c r="DF61" i="5"/>
  <c r="DF65" i="5"/>
  <c r="EY65" i="5"/>
  <c r="C25" i="8"/>
  <c r="B25" i="8"/>
  <c r="Z59" i="3"/>
  <c r="Q62" i="3"/>
  <c r="U62" i="3"/>
  <c r="Q63" i="3"/>
  <c r="U63" i="3"/>
  <c r="Q64" i="3"/>
  <c r="U64" i="3"/>
  <c r="Q65" i="3"/>
  <c r="U65" i="3"/>
  <c r="Q66" i="3"/>
  <c r="U66" i="3"/>
  <c r="Q67" i="3"/>
  <c r="U67" i="3"/>
  <c r="Q68" i="3"/>
  <c r="U68" i="3"/>
  <c r="Q69" i="3"/>
  <c r="U69" i="3"/>
  <c r="Q70" i="3"/>
  <c r="U70" i="3"/>
  <c r="Q71" i="3"/>
  <c r="U71" i="3"/>
  <c r="Q72" i="3"/>
  <c r="U72" i="3"/>
  <c r="Q74" i="3"/>
  <c r="U74" i="3"/>
  <c r="C75" i="3"/>
  <c r="Q75" i="3" s="1"/>
  <c r="U75" i="3"/>
  <c r="C101" i="3"/>
  <c r="Q101" i="3" s="1"/>
  <c r="C102" i="3"/>
  <c r="Q102" i="3" s="1"/>
  <c r="G102" i="3"/>
  <c r="U102" i="3" s="1"/>
  <c r="Q77" i="3"/>
  <c r="U77" i="3"/>
  <c r="C103" i="3"/>
  <c r="Q103" i="3" s="1"/>
  <c r="G103" i="3"/>
  <c r="U103" i="3" s="1"/>
  <c r="Q78" i="3"/>
  <c r="U78" i="3"/>
  <c r="C104" i="3"/>
  <c r="Q104" i="3" s="1"/>
  <c r="G104" i="3"/>
  <c r="U104" i="3" s="1"/>
  <c r="Q79" i="3"/>
  <c r="U79" i="3"/>
  <c r="Q80" i="3"/>
  <c r="U80" i="3"/>
  <c r="C106" i="3"/>
  <c r="Q106" i="3" s="1"/>
  <c r="G106" i="3"/>
  <c r="U106" i="3" s="1"/>
  <c r="Q81" i="3"/>
  <c r="U81" i="3"/>
  <c r="C107" i="3"/>
  <c r="Q107" i="3" s="1"/>
  <c r="G107" i="3"/>
  <c r="U107" i="3" s="1"/>
  <c r="Q82" i="3"/>
  <c r="U82" i="3"/>
  <c r="C108" i="3"/>
  <c r="Q108" i="3" s="1"/>
  <c r="G108" i="3"/>
  <c r="U108" i="3" s="1"/>
  <c r="Q83" i="3"/>
  <c r="U83" i="3"/>
  <c r="Q84" i="3"/>
  <c r="U84" i="3"/>
  <c r="V167" i="3"/>
  <c r="X199" i="3"/>
  <c r="V257" i="3"/>
  <c r="CN9" i="4"/>
  <c r="CM9" i="4"/>
  <c r="CN13" i="4"/>
  <c r="CM13" i="4"/>
  <c r="CN17" i="4"/>
  <c r="CM17" i="4"/>
  <c r="D86" i="8"/>
  <c r="O49" i="6"/>
  <c r="ET30" i="5"/>
  <c r="EU41" i="5"/>
  <c r="EU43" i="5"/>
  <c r="R162" i="3"/>
  <c r="V162" i="3"/>
  <c r="S163" i="3"/>
  <c r="W163" i="3"/>
  <c r="T164" i="3"/>
  <c r="X164" i="3"/>
  <c r="Q165" i="3"/>
  <c r="U165" i="3"/>
  <c r="Y165" i="3"/>
  <c r="R166" i="3"/>
  <c r="V166" i="3"/>
  <c r="S167" i="3"/>
  <c r="W167" i="3"/>
  <c r="T168" i="3"/>
  <c r="X168" i="3"/>
  <c r="Q169" i="3"/>
  <c r="U169" i="3"/>
  <c r="Y169" i="3"/>
  <c r="R170" i="3"/>
  <c r="V170" i="3"/>
  <c r="S171" i="3"/>
  <c r="W171" i="3"/>
  <c r="T172" i="3"/>
  <c r="X172" i="3"/>
  <c r="R174" i="3"/>
  <c r="V174" i="3"/>
  <c r="S175" i="3"/>
  <c r="W175" i="3"/>
  <c r="Q177" i="3"/>
  <c r="U177" i="3"/>
  <c r="Y177" i="3"/>
  <c r="R178" i="3"/>
  <c r="V178" i="3"/>
  <c r="S179" i="3"/>
  <c r="W179" i="3"/>
  <c r="T180" i="3"/>
  <c r="X180" i="3"/>
  <c r="Q181" i="3"/>
  <c r="U181" i="3"/>
  <c r="Y181" i="3"/>
  <c r="R182" i="3"/>
  <c r="V182" i="3"/>
  <c r="S183" i="3"/>
  <c r="W183" i="3"/>
  <c r="T184" i="3"/>
  <c r="T113" i="1" s="1"/>
  <c r="T136" i="1" s="1"/>
  <c r="X184" i="3"/>
  <c r="X113" i="1" s="1"/>
  <c r="X136" i="1" s="1"/>
  <c r="Q187" i="3"/>
  <c r="U187" i="3"/>
  <c r="Y187" i="3"/>
  <c r="R188" i="3"/>
  <c r="V188" i="3"/>
  <c r="S189" i="3"/>
  <c r="W189" i="3"/>
  <c r="T190" i="3"/>
  <c r="X190" i="3"/>
  <c r="Q191" i="3"/>
  <c r="U191" i="3"/>
  <c r="Y191" i="3"/>
  <c r="R192" i="3"/>
  <c r="V192" i="3"/>
  <c r="S193" i="3"/>
  <c r="W193" i="3"/>
  <c r="T194" i="3"/>
  <c r="X194" i="3"/>
  <c r="Q195" i="3"/>
  <c r="U195" i="3"/>
  <c r="Y195" i="3"/>
  <c r="R196" i="3"/>
  <c r="V196" i="3"/>
  <c r="S197" i="3"/>
  <c r="W197" i="3"/>
  <c r="Q199" i="3"/>
  <c r="U199" i="3"/>
  <c r="Y199" i="3"/>
  <c r="R200" i="3"/>
  <c r="V200" i="3"/>
  <c r="T202" i="3"/>
  <c r="X202" i="3"/>
  <c r="Q203" i="3"/>
  <c r="U203" i="3"/>
  <c r="Y203" i="3"/>
  <c r="R204" i="3"/>
  <c r="V204" i="3"/>
  <c r="S205" i="3"/>
  <c r="W205" i="3"/>
  <c r="T206" i="3"/>
  <c r="X206" i="3"/>
  <c r="Q207" i="3"/>
  <c r="U207" i="3"/>
  <c r="Y207" i="3"/>
  <c r="R208" i="3"/>
  <c r="V208" i="3"/>
  <c r="S209" i="3"/>
  <c r="W209" i="3"/>
  <c r="T212" i="3"/>
  <c r="X212" i="3"/>
  <c r="Q213" i="3"/>
  <c r="U213" i="3"/>
  <c r="Y213" i="3"/>
  <c r="R214" i="3"/>
  <c r="V214" i="3"/>
  <c r="S215" i="3"/>
  <c r="W215" i="3"/>
  <c r="T216" i="3"/>
  <c r="X216" i="3"/>
  <c r="Q217" i="3"/>
  <c r="U217" i="3"/>
  <c r="Y217" i="3"/>
  <c r="R218" i="3"/>
  <c r="V218" i="3"/>
  <c r="S219" i="3"/>
  <c r="W219" i="3"/>
  <c r="T220" i="3"/>
  <c r="X220" i="3"/>
  <c r="Q221" i="3"/>
  <c r="U221" i="3"/>
  <c r="Y221" i="3"/>
  <c r="R222" i="3"/>
  <c r="V222" i="3"/>
  <c r="T224" i="3"/>
  <c r="X224" i="3"/>
  <c r="Q225" i="3"/>
  <c r="U225" i="3"/>
  <c r="Y225" i="3"/>
  <c r="S227" i="3"/>
  <c r="W227" i="3"/>
  <c r="T228" i="3"/>
  <c r="X228" i="3"/>
  <c r="Q229" i="3"/>
  <c r="U229" i="3"/>
  <c r="Y229" i="3"/>
  <c r="R230" i="3"/>
  <c r="V230" i="3"/>
  <c r="S231" i="3"/>
  <c r="W231" i="3"/>
  <c r="T232" i="3"/>
  <c r="X232" i="3"/>
  <c r="Q233" i="3"/>
  <c r="U233" i="3"/>
  <c r="Y233" i="3"/>
  <c r="R234" i="3"/>
  <c r="V234" i="3"/>
  <c r="S237" i="3"/>
  <c r="W237" i="3"/>
  <c r="T238" i="3"/>
  <c r="X238" i="3"/>
  <c r="Q239" i="3"/>
  <c r="U239" i="3"/>
  <c r="Y239" i="3"/>
  <c r="R240" i="3"/>
  <c r="V240" i="3"/>
  <c r="S241" i="3"/>
  <c r="W241" i="3"/>
  <c r="T242" i="3"/>
  <c r="X242" i="3"/>
  <c r="Q243" i="3"/>
  <c r="U243" i="3"/>
  <c r="Y243" i="3"/>
  <c r="R244" i="3"/>
  <c r="V244" i="3"/>
  <c r="S245" i="3"/>
  <c r="W245" i="3"/>
  <c r="T246" i="3"/>
  <c r="X246" i="3"/>
  <c r="Q247" i="3"/>
  <c r="U247" i="3"/>
  <c r="Y247" i="3"/>
  <c r="S249" i="3"/>
  <c r="W249" i="3"/>
  <c r="T250" i="3"/>
  <c r="X250" i="3"/>
  <c r="R252" i="3"/>
  <c r="V252" i="3"/>
  <c r="S253" i="3"/>
  <c r="W253" i="3"/>
  <c r="T254" i="3"/>
  <c r="X254" i="3"/>
  <c r="Q255" i="3"/>
  <c r="U255" i="3"/>
  <c r="Y255" i="3"/>
  <c r="R256" i="3"/>
  <c r="V256" i="3"/>
  <c r="S257" i="3"/>
  <c r="W257" i="3"/>
  <c r="T258" i="3"/>
  <c r="X258" i="3"/>
  <c r="U259" i="3"/>
  <c r="Y259" i="3"/>
  <c r="AZ9" i="4"/>
  <c r="BA9" i="4" s="1"/>
  <c r="BD17" i="4" s="1"/>
  <c r="AZ13" i="4"/>
  <c r="BA13" i="4" s="1"/>
  <c r="BD21" i="4" s="1"/>
  <c r="AZ17" i="4"/>
  <c r="BA17" i="4" s="1"/>
  <c r="BD25" i="4" s="1"/>
  <c r="AZ21" i="4"/>
  <c r="EF10" i="4"/>
  <c r="EG10" i="4" s="1"/>
  <c r="W129" i="1" s="1"/>
  <c r="EF14" i="4"/>
  <c r="EG14" i="4" s="1"/>
  <c r="AA129" i="1" s="1"/>
  <c r="EF18" i="4"/>
  <c r="EG18" i="4" s="1"/>
  <c r="EF22" i="4"/>
  <c r="EG22" i="4" s="1"/>
  <c r="EF26" i="4"/>
  <c r="EG26" i="4" s="1"/>
  <c r="CM18" i="4"/>
  <c r="AA30" i="4"/>
  <c r="X125" i="1" s="1"/>
  <c r="X126" i="1" s="1"/>
  <c r="F38" i="8"/>
  <c r="AE30" i="4"/>
  <c r="AB125" i="1" s="1"/>
  <c r="AB126" i="1" s="1"/>
  <c r="AI30" i="4"/>
  <c r="AM30" i="4"/>
  <c r="CN61" i="4"/>
  <c r="S13" i="5"/>
  <c r="T9" i="5"/>
  <c r="S9" i="5"/>
  <c r="T10" i="5"/>
  <c r="DE13" i="5"/>
  <c r="AA17" i="5"/>
  <c r="Z17" i="5"/>
  <c r="EZ18" i="5"/>
  <c r="DF25" i="5"/>
  <c r="EZ25" i="5"/>
  <c r="EU26" i="5"/>
  <c r="DF27" i="5"/>
  <c r="EZ27" i="5"/>
  <c r="EY28" i="5"/>
  <c r="DE30" i="5"/>
  <c r="ET31" i="5"/>
  <c r="EU48" i="5"/>
  <c r="EU44" i="5"/>
  <c r="DF51" i="5"/>
  <c r="DF47" i="5"/>
  <c r="DF50" i="5"/>
  <c r="DF54" i="5"/>
  <c r="DC78" i="5"/>
  <c r="DE78" i="5" s="1"/>
  <c r="CN55" i="5"/>
  <c r="AP4" i="6"/>
  <c r="L269" i="3"/>
  <c r="BA18" i="4"/>
  <c r="BD26" i="4" s="1"/>
  <c r="EG23" i="4"/>
  <c r="EG27" i="4"/>
  <c r="DE11" i="5"/>
  <c r="DF12" i="5"/>
  <c r="DF16" i="5"/>
  <c r="EZ12" i="5"/>
  <c r="EZ16" i="5"/>
  <c r="EY15" i="5"/>
  <c r="AA18" i="5"/>
  <c r="Z18" i="5"/>
  <c r="DF24" i="5"/>
  <c r="DF20" i="5"/>
  <c r="EZ24" i="5"/>
  <c r="EZ20" i="5"/>
  <c r="ET28" i="5"/>
  <c r="EY29" i="5"/>
  <c r="DE31" i="5"/>
  <c r="EZ40" i="5"/>
  <c r="EZ36" i="5"/>
  <c r="DF41" i="5"/>
  <c r="DF37" i="5"/>
  <c r="DF40" i="5"/>
  <c r="DF42" i="5"/>
  <c r="DF43" i="5"/>
  <c r="DF44" i="5"/>
  <c r="S112" i="1" s="1"/>
  <c r="DE50" i="5"/>
  <c r="DE46" i="5"/>
  <c r="ET47" i="5"/>
  <c r="ET51" i="5"/>
  <c r="DE52" i="5"/>
  <c r="U110" i="1" s="1"/>
  <c r="DE48" i="5"/>
  <c r="T110" i="1" s="1"/>
  <c r="DE53" i="5"/>
  <c r="DE57" i="5"/>
  <c r="EZ58" i="5"/>
  <c r="EZ62" i="5"/>
  <c r="EU78" i="5"/>
  <c r="EU82" i="5"/>
  <c r="H32" i="6"/>
  <c r="H44" i="6"/>
  <c r="EC7" i="4"/>
  <c r="AZ11" i="4"/>
  <c r="BA11" i="4" s="1"/>
  <c r="BD19" i="4" s="1"/>
  <c r="AZ15" i="4"/>
  <c r="BA15" i="4" s="1"/>
  <c r="BD23" i="4" s="1"/>
  <c r="EF12" i="4"/>
  <c r="EG12" i="4" s="1"/>
  <c r="Y129" i="1" s="1"/>
  <c r="EF16" i="4"/>
  <c r="EG16" i="4" s="1"/>
  <c r="EF20" i="4"/>
  <c r="EG20" i="4" s="1"/>
  <c r="EF24" i="4"/>
  <c r="CF19" i="4"/>
  <c r="CI24" i="4" s="1"/>
  <c r="CF34" i="4"/>
  <c r="AJ67" i="5"/>
  <c r="AJ64" i="5"/>
  <c r="AJ65" i="5" s="1"/>
  <c r="AJ66" i="5" s="1"/>
  <c r="ET8" i="5"/>
  <c r="ET12" i="5"/>
  <c r="Z13" i="5"/>
  <c r="AA9" i="5"/>
  <c r="Z9" i="5"/>
  <c r="DF14" i="5"/>
  <c r="ET15" i="5"/>
  <c r="T17" i="5"/>
  <c r="S17" i="5"/>
  <c r="DF18" i="5"/>
  <c r="AA19" i="5"/>
  <c r="Z19" i="5"/>
  <c r="EU25" i="5"/>
  <c r="EU27" i="5"/>
  <c r="DE45" i="5"/>
  <c r="DE41" i="5"/>
  <c r="BL47" i="5"/>
  <c r="BM46" i="5"/>
  <c r="EZ48" i="5"/>
  <c r="T11" i="5"/>
  <c r="AA11" i="5"/>
  <c r="T14" i="5"/>
  <c r="AA14" i="5"/>
  <c r="ET14" i="5"/>
  <c r="EY14" i="5"/>
  <c r="T16" i="5"/>
  <c r="AA16" i="5"/>
  <c r="ET37" i="5"/>
  <c r="EY37" i="5"/>
  <c r="DE38" i="5"/>
  <c r="ET39" i="5"/>
  <c r="EY39" i="5"/>
  <c r="EU45" i="5"/>
  <c r="EZ45" i="5"/>
  <c r="DF48" i="5"/>
  <c r="T112" i="1" s="1"/>
  <c r="DF52" i="5"/>
  <c r="U112" i="1" s="1"/>
  <c r="ET50" i="5"/>
  <c r="ET54" i="5"/>
  <c r="O55" i="5"/>
  <c r="P54" i="5"/>
  <c r="S54" i="5" s="1"/>
  <c r="CB53" i="5"/>
  <c r="BZ53" i="5" s="1"/>
  <c r="BY54" i="5"/>
  <c r="EU52" i="5"/>
  <c r="EU58" i="5"/>
  <c r="EU62" i="5"/>
  <c r="EZ60" i="5"/>
  <c r="EZ61" i="5"/>
  <c r="EU74" i="5"/>
  <c r="ET75" i="5"/>
  <c r="DC76" i="5"/>
  <c r="DE76" i="5" s="1"/>
  <c r="AA110" i="1" s="1"/>
  <c r="EY83" i="5"/>
  <c r="EU96" i="5"/>
  <c r="EY101" i="5"/>
  <c r="EU104" i="5"/>
  <c r="EY109" i="5"/>
  <c r="AC9" i="6"/>
  <c r="U85" i="6" a="1"/>
  <c r="U85" i="6" s="1"/>
  <c r="AF75" i="6"/>
  <c r="Y75" i="6"/>
  <c r="Y76" i="6" a="1"/>
  <c r="Y76" i="6" s="1"/>
  <c r="AA76" i="6" s="1"/>
  <c r="T4" i="5"/>
  <c r="AA6" i="5"/>
  <c r="EU50" i="5"/>
  <c r="DE59" i="5"/>
  <c r="EZ59" i="5"/>
  <c r="EZ63" i="5"/>
  <c r="EU60" i="5"/>
  <c r="DF71" i="5"/>
  <c r="EY71" i="5"/>
  <c r="ET79" i="5"/>
  <c r="ET83" i="5"/>
  <c r="EY95" i="5"/>
  <c r="EU98" i="5"/>
  <c r="EY103" i="5"/>
  <c r="EU106" i="5"/>
  <c r="EU110" i="5"/>
  <c r="EY48" i="5"/>
  <c r="EY52" i="5"/>
  <c r="EY50" i="5"/>
  <c r="EY54" i="5"/>
  <c r="BS52" i="5"/>
  <c r="AP56" i="5"/>
  <c r="AQ52" i="5"/>
  <c r="AA106" i="1" s="1"/>
  <c r="CE54" i="5"/>
  <c r="CG53" i="5"/>
  <c r="EZ52" i="5"/>
  <c r="EZ56" i="5"/>
  <c r="EU61" i="5"/>
  <c r="DE68" i="5"/>
  <c r="Y110" i="1" s="1"/>
  <c r="EZ70" i="5"/>
  <c r="EZ78" i="5"/>
  <c r="EU112" i="5"/>
  <c r="EU108" i="5"/>
  <c r="CY111" i="5"/>
  <c r="DD76" i="5"/>
  <c r="DF76" i="5" s="1"/>
  <c r="AA112" i="1" s="1"/>
  <c r="N66" i="6"/>
  <c r="U66" i="6" s="1"/>
  <c r="N52" i="6"/>
  <c r="N68" i="6"/>
  <c r="N50" i="6"/>
  <c r="N41" i="6"/>
  <c r="N39" i="6"/>
  <c r="N51" i="6"/>
  <c r="N47" i="6"/>
  <c r="N42" i="6"/>
  <c r="N48" i="6"/>
  <c r="N45" i="6"/>
  <c r="N43" i="6"/>
  <c r="N40" i="6"/>
  <c r="N37" i="6"/>
  <c r="N46" i="6"/>
  <c r="N67" i="6"/>
  <c r="N49" i="6"/>
  <c r="N8" i="6"/>
  <c r="AF49" i="6"/>
  <c r="E118" i="6"/>
  <c r="E123" i="6" s="1"/>
  <c r="K100" i="6"/>
  <c r="BR52" i="5"/>
  <c r="DF57" i="5"/>
  <c r="ET57" i="5"/>
  <c r="EY57" i="5"/>
  <c r="DF59" i="5"/>
  <c r="ET59" i="5"/>
  <c r="EY59" i="5"/>
  <c r="EU65" i="5"/>
  <c r="EZ65" i="5"/>
  <c r="DE67" i="5"/>
  <c r="ET91" i="5"/>
  <c r="ET93" i="5"/>
  <c r="ET95" i="5"/>
  <c r="ET97" i="5"/>
  <c r="ET99" i="5"/>
  <c r="ET101" i="5"/>
  <c r="ET103" i="5"/>
  <c r="ET105" i="5"/>
  <c r="ET107" i="5"/>
  <c r="ET109" i="5"/>
  <c r="EY111" i="5"/>
  <c r="EY115" i="5"/>
  <c r="AA36" i="6"/>
  <c r="AF50" i="6"/>
  <c r="AC57" i="6"/>
  <c r="AD87" i="6"/>
  <c r="W54" i="6"/>
  <c r="W53" i="6"/>
  <c r="X50" i="6"/>
  <c r="W49" i="6"/>
  <c r="X51" i="6"/>
  <c r="W50" i="6"/>
  <c r="X48" i="6"/>
  <c r="W47" i="6"/>
  <c r="X45" i="6"/>
  <c r="W44" i="6"/>
  <c r="X43" i="6"/>
  <c r="W42" i="6"/>
  <c r="W39" i="6"/>
  <c r="W38" i="6"/>
  <c r="AI38" i="6" s="1"/>
  <c r="AJ38" i="6" s="1"/>
  <c r="AK38" i="6" s="1"/>
  <c r="AL38" i="6" s="1"/>
  <c r="X52" i="6"/>
  <c r="W51" i="6"/>
  <c r="W48" i="6"/>
  <c r="W45" i="6"/>
  <c r="W43" i="6"/>
  <c r="X40" i="6"/>
  <c r="X54" i="6"/>
  <c r="W52" i="6"/>
  <c r="X49" i="6"/>
  <c r="X46" i="6"/>
  <c r="X41" i="6"/>
  <c r="W40" i="6"/>
  <c r="W37" i="6"/>
  <c r="CF52" i="5"/>
  <c r="EY92" i="5"/>
  <c r="EY94" i="5"/>
  <c r="EY96" i="5"/>
  <c r="EY98" i="5"/>
  <c r="EY100" i="5"/>
  <c r="EY102" i="5"/>
  <c r="EY104" i="5"/>
  <c r="EY106" i="5"/>
  <c r="EY108" i="5"/>
  <c r="ET111" i="5"/>
  <c r="EY113" i="5"/>
  <c r="P50" i="6"/>
  <c r="P52" i="6"/>
  <c r="P48" i="6"/>
  <c r="P45" i="6"/>
  <c r="P43" i="6"/>
  <c r="P49" i="6"/>
  <c r="P40" i="6"/>
  <c r="P37" i="6"/>
  <c r="P53" i="6"/>
  <c r="P46" i="6"/>
  <c r="P41" i="6"/>
  <c r="P32" i="6"/>
  <c r="AD9" i="6"/>
  <c r="C92" i="6"/>
  <c r="C123" i="6" s="1"/>
  <c r="AF8" i="6"/>
  <c r="J32" i="6"/>
  <c r="AC33" i="6"/>
  <c r="P39" i="6"/>
  <c r="W41" i="6"/>
  <c r="X42" i="6"/>
  <c r="AF44" i="6"/>
  <c r="X44" i="6"/>
  <c r="AF46" i="6"/>
  <c r="X53" i="6"/>
  <c r="AG56" i="6"/>
  <c r="AF56" i="6"/>
  <c r="AC87" i="6"/>
  <c r="CG52" i="5"/>
  <c r="ET92" i="5"/>
  <c r="ET94" i="5"/>
  <c r="ET96" i="5"/>
  <c r="ET98" i="5"/>
  <c r="ET100" i="5"/>
  <c r="ET102" i="5"/>
  <c r="ET104" i="5"/>
  <c r="ET106" i="5"/>
  <c r="ET108" i="5"/>
  <c r="ET110" i="5"/>
  <c r="EY110" i="5"/>
  <c r="ET113" i="5"/>
  <c r="L32" i="6"/>
  <c r="L44" i="6"/>
  <c r="AG8" i="6"/>
  <c r="X39" i="6"/>
  <c r="AC70" i="6"/>
  <c r="AF69" i="6"/>
  <c r="AD70" i="6"/>
  <c r="AE71" i="6"/>
  <c r="K118" i="6"/>
  <c r="W56" i="6" s="1"/>
  <c r="Q68" i="6"/>
  <c r="Q51" i="6"/>
  <c r="Q67" i="6"/>
  <c r="AF37" i="6"/>
  <c r="Q39" i="6"/>
  <c r="AF40" i="6"/>
  <c r="Q42" i="6"/>
  <c r="Q44" i="6"/>
  <c r="Q47" i="6"/>
  <c r="Q50" i="6"/>
  <c r="AF51" i="6"/>
  <c r="AA63" i="6"/>
  <c r="AG77" i="6"/>
  <c r="Y79" i="6"/>
  <c r="AJ55" i="6"/>
  <c r="AK55" i="6" s="1"/>
  <c r="AL55" i="6" s="1"/>
  <c r="AF83" i="6"/>
  <c r="K123" i="6"/>
  <c r="H98" i="6"/>
  <c r="B116" i="6"/>
  <c r="D116" i="6" s="1"/>
  <c r="F116" i="6" s="1"/>
  <c r="H116" i="6" s="1"/>
  <c r="J116" i="6" s="1"/>
  <c r="AF54" i="6"/>
  <c r="AF66" i="6"/>
  <c r="Y83" i="6" a="1"/>
  <c r="Y83" i="6" s="1"/>
  <c r="Y80" i="6"/>
  <c r="AG84" i="6"/>
  <c r="F100" i="6"/>
  <c r="H100" i="6" s="1"/>
  <c r="J100" i="6" s="1"/>
  <c r="C17" i="8"/>
  <c r="N54" i="8"/>
  <c r="AE85" i="6"/>
  <c r="C118" i="6"/>
  <c r="C29" i="8"/>
  <c r="C84" i="8"/>
  <c r="C85" i="8" s="1"/>
  <c r="E85" i="8" s="1"/>
  <c r="E82" i="8"/>
  <c r="D183" i="8" a="1"/>
  <c r="D183" i="8" s="1"/>
  <c r="Y81" i="6"/>
  <c r="K49" i="8"/>
  <c r="B185" i="8" a="1"/>
  <c r="B185" i="8" s="1"/>
  <c r="B181" i="8" a="1"/>
  <c r="B181" i="8" s="1"/>
  <c r="B177" i="8" a="1"/>
  <c r="B177" i="8" s="1"/>
  <c r="B173" i="8" a="1"/>
  <c r="B173" i="8" s="1"/>
  <c r="B184" i="8" a="1"/>
  <c r="B184" i="8" s="1"/>
  <c r="B180" i="8" a="1"/>
  <c r="B180" i="8" s="1"/>
  <c r="B176" i="8" a="1"/>
  <c r="B176" i="8" s="1"/>
  <c r="B171" i="8" a="1"/>
  <c r="B171" i="8" s="1"/>
  <c r="B183" i="8" a="1"/>
  <c r="B183" i="8" s="1"/>
  <c r="B179" i="8" a="1"/>
  <c r="B179" i="8" s="1"/>
  <c r="B175" i="8" a="1"/>
  <c r="B175" i="8" s="1"/>
  <c r="F185" i="8" a="1"/>
  <c r="F185" i="8" s="1"/>
  <c r="F183" i="8" a="1"/>
  <c r="F183" i="8" s="1"/>
  <c r="F179" i="8" a="1"/>
  <c r="F179" i="8" s="1"/>
  <c r="F175" i="8" a="1"/>
  <c r="F175" i="8" s="1"/>
  <c r="F182" i="8" a="1"/>
  <c r="F182" i="8" s="1"/>
  <c r="F178" i="8" a="1"/>
  <c r="F178" i="8" s="1"/>
  <c r="F174" i="8" a="1"/>
  <c r="F174" i="8" s="1"/>
  <c r="F181" i="8" a="1"/>
  <c r="F181" i="8" s="1"/>
  <c r="F177" i="8" a="1"/>
  <c r="F177" i="8" s="1"/>
  <c r="F173" i="8" a="1"/>
  <c r="F173" i="8" s="1"/>
  <c r="F176" i="8" a="1"/>
  <c r="F176" i="8" s="1"/>
  <c r="B182" i="8" a="1"/>
  <c r="B182" i="8" s="1"/>
  <c r="E28" i="8"/>
  <c r="E192" i="8"/>
  <c r="F180" i="8" a="1"/>
  <c r="F180" i="8" s="1"/>
  <c r="N6" i="8"/>
  <c r="D171" i="8" a="1"/>
  <c r="D171" i="8" s="1"/>
  <c r="C173" i="8" a="1"/>
  <c r="C173" i="8" s="1"/>
  <c r="E174" i="8" a="1"/>
  <c r="E174" i="8" s="1"/>
  <c r="H175" i="8" a="1"/>
  <c r="H175" i="8" s="1"/>
  <c r="D176" i="8" a="1"/>
  <c r="D176" i="8" s="1"/>
  <c r="C177" i="8" a="1"/>
  <c r="C177" i="8" s="1"/>
  <c r="E178" i="8" a="1"/>
  <c r="E178" i="8" s="1"/>
  <c r="H179" i="8" a="1"/>
  <c r="H179" i="8" s="1"/>
  <c r="D180" i="8" a="1"/>
  <c r="D180" i="8" s="1"/>
  <c r="C181" i="8" a="1"/>
  <c r="C181" i="8" s="1"/>
  <c r="E182" i="8" a="1"/>
  <c r="E182" i="8" s="1"/>
  <c r="C185" i="8" a="1"/>
  <c r="C185" i="8" s="1"/>
  <c r="D185" i="8" a="1"/>
  <c r="D185" i="8" s="1"/>
  <c r="H185" i="8" a="1"/>
  <c r="H185" i="8" s="1"/>
  <c r="H171" i="8" a="1"/>
  <c r="H171" i="8" s="1"/>
  <c r="D173" i="8" a="1"/>
  <c r="D173" i="8" s="1"/>
  <c r="C174" i="8" a="1"/>
  <c r="C174" i="8" s="1"/>
  <c r="E175" i="8" a="1"/>
  <c r="E175" i="8" s="1"/>
  <c r="H176" i="8" a="1"/>
  <c r="H176" i="8" s="1"/>
  <c r="D177" i="8" a="1"/>
  <c r="D177" i="8" s="1"/>
  <c r="C178" i="8" a="1"/>
  <c r="C178" i="8" s="1"/>
  <c r="E179" i="8" a="1"/>
  <c r="E179" i="8" s="1"/>
  <c r="H180" i="8" a="1"/>
  <c r="H180" i="8" s="1"/>
  <c r="D181" i="8" a="1"/>
  <c r="D181" i="8" s="1"/>
  <c r="C182" i="8" a="1"/>
  <c r="C182" i="8" s="1"/>
  <c r="E183" i="8" a="1"/>
  <c r="E183" i="8" s="1"/>
  <c r="H184" i="8" a="1"/>
  <c r="H184" i="8" s="1"/>
  <c r="E171" i="8" a="1"/>
  <c r="E171" i="8" s="1"/>
  <c r="H173" i="8" a="1"/>
  <c r="H173" i="8" s="1"/>
  <c r="D174" i="8" a="1"/>
  <c r="D174" i="8" s="1"/>
  <c r="C175" i="8" a="1"/>
  <c r="C175" i="8" s="1"/>
  <c r="E176" i="8" a="1"/>
  <c r="E176" i="8" s="1"/>
  <c r="H177" i="8" a="1"/>
  <c r="H177" i="8" s="1"/>
  <c r="D178" i="8" a="1"/>
  <c r="D178" i="8" s="1"/>
  <c r="C179" i="8" a="1"/>
  <c r="C179" i="8" s="1"/>
  <c r="E180" i="8" a="1"/>
  <c r="E180" i="8" s="1"/>
  <c r="H181" i="8" a="1"/>
  <c r="H181" i="8" s="1"/>
  <c r="D182" i="8" a="1"/>
  <c r="D182" i="8" s="1"/>
  <c r="E184" i="8" a="1"/>
  <c r="E184" i="8" s="1"/>
  <c r="Y137" i="1" l="1"/>
  <c r="U137" i="1"/>
  <c r="S137" i="1"/>
  <c r="T59" i="1"/>
  <c r="U59" i="1" s="1"/>
  <c r="V59" i="1" s="1"/>
  <c r="W59" i="1" s="1"/>
  <c r="X59" i="1" s="1"/>
  <c r="Y59" i="1" s="1"/>
  <c r="Z59" i="1" s="1"/>
  <c r="AA59" i="1" s="1"/>
  <c r="AB59" i="1" s="1"/>
  <c r="K14" i="2"/>
  <c r="K21" i="2"/>
  <c r="AB12" i="2"/>
  <c r="U85" i="1"/>
  <c r="V86" i="1" s="1"/>
  <c r="K17" i="2"/>
  <c r="AB17" i="2" s="1"/>
  <c r="AB18" i="2" s="1"/>
  <c r="Q12" i="2"/>
  <c r="E186" i="8"/>
  <c r="AI54" i="6"/>
  <c r="AJ54" i="6" s="1"/>
  <c r="AK54" i="6" s="1"/>
  <c r="AL54" i="6" s="1"/>
  <c r="E193" i="8"/>
  <c r="E188" i="8"/>
  <c r="CE55" i="5"/>
  <c r="CG54" i="5"/>
  <c r="CF54" i="5"/>
  <c r="E36" i="8"/>
  <c r="AD33" i="6"/>
  <c r="AF32" i="6"/>
  <c r="O56" i="5"/>
  <c r="P55" i="5"/>
  <c r="S55" i="5" s="1"/>
  <c r="DC79" i="5"/>
  <c r="DE79" i="5" s="1"/>
  <c r="CN56" i="5"/>
  <c r="DC80" i="5" s="1"/>
  <c r="DE80" i="5" s="1"/>
  <c r="AB110" i="1" s="1"/>
  <c r="W32" i="4"/>
  <c r="W28" i="4"/>
  <c r="W24" i="4"/>
  <c r="W20" i="4"/>
  <c r="W35" i="4"/>
  <c r="W31" i="4"/>
  <c r="W27" i="4"/>
  <c r="W23" i="4"/>
  <c r="W19" i="4"/>
  <c r="W34" i="4"/>
  <c r="W30" i="4"/>
  <c r="W26" i="4"/>
  <c r="W22" i="4"/>
  <c r="O4" i="6" s="1"/>
  <c r="W18" i="4"/>
  <c r="W25" i="4"/>
  <c r="W21" i="4"/>
  <c r="Z41" i="4" s="1"/>
  <c r="W33" i="4"/>
  <c r="W17" i="4"/>
  <c r="W29" i="4"/>
  <c r="BA12" i="4"/>
  <c r="BD20" i="4" s="1"/>
  <c r="K50" i="6"/>
  <c r="K67" i="6"/>
  <c r="K48" i="6"/>
  <c r="K45" i="6"/>
  <c r="K43" i="6"/>
  <c r="K40" i="6"/>
  <c r="K37" i="6"/>
  <c r="K53" i="6"/>
  <c r="K49" i="6"/>
  <c r="K46" i="6"/>
  <c r="K68" i="6"/>
  <c r="K51" i="6"/>
  <c r="K41" i="6"/>
  <c r="K39" i="6"/>
  <c r="M4" i="6"/>
  <c r="K47" i="6"/>
  <c r="K52" i="6"/>
  <c r="K8" i="6"/>
  <c r="K42" i="6"/>
  <c r="AK116" i="1"/>
  <c r="Y86" i="1"/>
  <c r="AN116" i="1"/>
  <c r="H186" i="8"/>
  <c r="G192" i="8"/>
  <c r="C188" i="8"/>
  <c r="C192" i="8"/>
  <c r="C186" i="8"/>
  <c r="E194" i="8"/>
  <c r="F192" i="8"/>
  <c r="F186" i="8"/>
  <c r="F188" i="8" s="1"/>
  <c r="C19" i="8"/>
  <c r="O4" i="8"/>
  <c r="O8" i="8" s="1"/>
  <c r="B37" i="8"/>
  <c r="J98" i="6"/>
  <c r="AF77" i="6"/>
  <c r="AF76" i="6"/>
  <c r="AD77" i="6"/>
  <c r="AC77" i="6"/>
  <c r="BY55" i="5"/>
  <c r="CB54" i="5"/>
  <c r="BZ54" i="5" s="1"/>
  <c r="EG17" i="4"/>
  <c r="B33" i="8"/>
  <c r="CI53" i="5"/>
  <c r="CH54" i="5"/>
  <c r="EG15" i="4"/>
  <c r="C100" i="3"/>
  <c r="Q100" i="3" s="1"/>
  <c r="Q98" i="3"/>
  <c r="EG11" i="4"/>
  <c r="X129" i="1" s="1"/>
  <c r="U15" i="2"/>
  <c r="Q15" i="2"/>
  <c r="X15" i="2"/>
  <c r="T15" i="2"/>
  <c r="W15" i="2"/>
  <c r="O15" i="2"/>
  <c r="V15" i="2"/>
  <c r="R15" i="2"/>
  <c r="N15" i="2"/>
  <c r="P12" i="2"/>
  <c r="Q21" i="2" s="1"/>
  <c r="W85" i="1"/>
  <c r="J18" i="2"/>
  <c r="AB139" i="1"/>
  <c r="R17" i="2"/>
  <c r="R14" i="2"/>
  <c r="S27" i="2" s="1"/>
  <c r="R31" i="2"/>
  <c r="R21" i="2"/>
  <c r="R13" i="2"/>
  <c r="Q13" i="2"/>
  <c r="Q17" i="2"/>
  <c r="Q14" i="2"/>
  <c r="BA22" i="4"/>
  <c r="BD30" i="4" s="1"/>
  <c r="BA21" i="4"/>
  <c r="BD29" i="4" s="1"/>
  <c r="S12" i="2"/>
  <c r="AJ12" i="2" s="1"/>
  <c r="Z85" i="1"/>
  <c r="D188" i="8"/>
  <c r="D192" i="8"/>
  <c r="D186" i="8"/>
  <c r="B192" i="8"/>
  <c r="B186" i="8"/>
  <c r="B193" i="8" s="1"/>
  <c r="N49" i="8"/>
  <c r="B17" i="8"/>
  <c r="AG85" i="6"/>
  <c r="AE87" i="6"/>
  <c r="AA83" i="6"/>
  <c r="Y85" i="6"/>
  <c r="Z85" i="6" s="1"/>
  <c r="W59" i="6"/>
  <c r="W71" i="6" s="1"/>
  <c r="AD57" i="6"/>
  <c r="DD77" i="5"/>
  <c r="DF77" i="5" s="1"/>
  <c r="CY112" i="5"/>
  <c r="BM51" i="5"/>
  <c r="BM47" i="5"/>
  <c r="BA16" i="4"/>
  <c r="BD24" i="4" s="1"/>
  <c r="C33" i="8"/>
  <c r="C39" i="8"/>
  <c r="C30" i="8"/>
  <c r="C31" i="8" s="1"/>
  <c r="C43" i="8" s="1"/>
  <c r="C40" i="8"/>
  <c r="C27" i="8"/>
  <c r="CA53" i="5"/>
  <c r="DG77" i="5" s="1"/>
  <c r="BX54" i="5"/>
  <c r="AA21" i="5"/>
  <c r="Z21" i="5"/>
  <c r="Y22" i="5"/>
  <c r="BA14" i="4"/>
  <c r="BD22" i="4" s="1"/>
  <c r="B100" i="3"/>
  <c r="P100" i="3" s="1"/>
  <c r="P98" i="3"/>
  <c r="EG21" i="4"/>
  <c r="BA10" i="4"/>
  <c r="BD18" i="4" s="1"/>
  <c r="AA13" i="2"/>
  <c r="AA14" i="2"/>
  <c r="L12" i="2"/>
  <c r="L15" i="2" s="1"/>
  <c r="S85" i="1"/>
  <c r="AH115" i="1"/>
  <c r="AG124" i="1"/>
  <c r="AG130" i="1" s="1"/>
  <c r="T19" i="5"/>
  <c r="S19" i="5"/>
  <c r="R20" i="5"/>
  <c r="AB21" i="2"/>
  <c r="AB14" i="2"/>
  <c r="AB13" i="2"/>
  <c r="M12" i="2"/>
  <c r="T85" i="1"/>
  <c r="AM116" i="1"/>
  <c r="X86" i="1"/>
  <c r="AP116" i="1"/>
  <c r="AA86" i="1"/>
  <c r="AD84" i="6"/>
  <c r="AF85" i="6"/>
  <c r="AC84" i="6"/>
  <c r="K18" i="2"/>
  <c r="C87" i="8"/>
  <c r="Y66" i="6"/>
  <c r="AG71" i="6"/>
  <c r="EG24" i="4"/>
  <c r="EG25" i="4"/>
  <c r="I4" i="6"/>
  <c r="E4" i="6"/>
  <c r="G4" i="6"/>
  <c r="K4" i="6"/>
  <c r="AK4" i="6"/>
  <c r="O48" i="6" s="1"/>
  <c r="AB127" i="1"/>
  <c r="AI59" i="3"/>
  <c r="D25" i="8" s="1"/>
  <c r="E25" i="8" s="1"/>
  <c r="Z114" i="1"/>
  <c r="DG76" i="5"/>
  <c r="AA109" i="1"/>
  <c r="S88" i="2"/>
  <c r="T87" i="2"/>
  <c r="N17" i="2"/>
  <c r="N14" i="2"/>
  <c r="N13" i="2"/>
  <c r="AQ116" i="1"/>
  <c r="AB86" i="1"/>
  <c r="AJ116" i="1" l="1"/>
  <c r="U86" i="1"/>
  <c r="AG12" i="2"/>
  <c r="AG13" i="2" s="1"/>
  <c r="S15" i="2"/>
  <c r="C193" i="8"/>
  <c r="E33" i="8"/>
  <c r="O37" i="8"/>
  <c r="U87" i="2"/>
  <c r="T88" i="2"/>
  <c r="T89" i="2" s="1"/>
  <c r="AF84" i="6"/>
  <c r="AA85" i="6"/>
  <c r="AJ14" i="2"/>
  <c r="AJ13" i="2"/>
  <c r="U45" i="6"/>
  <c r="Z42" i="4"/>
  <c r="AE41" i="4"/>
  <c r="AF41" i="4" s="1"/>
  <c r="K32" i="6"/>
  <c r="K44" i="6"/>
  <c r="T20" i="5"/>
  <c r="R21" i="5"/>
  <c r="S20" i="5"/>
  <c r="S117" i="1" s="1"/>
  <c r="AH125" i="1"/>
  <c r="AH124" i="1"/>
  <c r="AI115" i="1"/>
  <c r="N4" i="8"/>
  <c r="N8" i="8" s="1"/>
  <c r="B26" i="8"/>
  <c r="B19" i="8"/>
  <c r="B194" i="8"/>
  <c r="AO116" i="1"/>
  <c r="Z86" i="1"/>
  <c r="G193" i="8"/>
  <c r="G194" i="8" s="1"/>
  <c r="U42" i="6"/>
  <c r="M67" i="6"/>
  <c r="M51" i="6"/>
  <c r="M68" i="6"/>
  <c r="U68" i="6" s="1"/>
  <c r="Y68" i="6" s="1"/>
  <c r="M53" i="6"/>
  <c r="M49" i="6"/>
  <c r="M46" i="6"/>
  <c r="M50" i="6"/>
  <c r="M44" i="6"/>
  <c r="M41" i="6"/>
  <c r="M39" i="6"/>
  <c r="M52" i="6"/>
  <c r="M47" i="6"/>
  <c r="U47" i="6" s="1"/>
  <c r="M42" i="6"/>
  <c r="M8" i="6"/>
  <c r="M45" i="6"/>
  <c r="M32" i="6"/>
  <c r="M48" i="6"/>
  <c r="M37" i="6"/>
  <c r="M43" i="6"/>
  <c r="U43" i="6" s="1"/>
  <c r="M40" i="6"/>
  <c r="U37" i="6"/>
  <c r="I44" i="6"/>
  <c r="I32" i="6"/>
  <c r="M21" i="2"/>
  <c r="M13" i="2"/>
  <c r="M17" i="2"/>
  <c r="M14" i="2"/>
  <c r="AF12" i="2"/>
  <c r="DD78" i="5"/>
  <c r="DF78" i="5" s="1"/>
  <c r="CY113" i="5"/>
  <c r="CB55" i="5"/>
  <c r="BZ55" i="5" s="1"/>
  <c r="AB111" i="1" s="1"/>
  <c r="BY56" i="5"/>
  <c r="CB56" i="5" s="1"/>
  <c r="BZ56" i="5" s="1"/>
  <c r="E37" i="8"/>
  <c r="C36" i="8"/>
  <c r="D36" i="8"/>
  <c r="B36" i="8"/>
  <c r="D40" i="8"/>
  <c r="D39" i="8"/>
  <c r="D30" i="8"/>
  <c r="D31" i="8" s="1"/>
  <c r="D43" i="8" s="1"/>
  <c r="D33" i="8"/>
  <c r="D29" i="8"/>
  <c r="D27" i="8"/>
  <c r="G32" i="6"/>
  <c r="G44" i="6"/>
  <c r="AH116" i="1"/>
  <c r="AH133" i="1" s="1"/>
  <c r="S86" i="1"/>
  <c r="CA54" i="5"/>
  <c r="DG78" i="5" s="1"/>
  <c r="BX55" i="5"/>
  <c r="C32" i="8"/>
  <c r="AG87" i="6"/>
  <c r="D193" i="8"/>
  <c r="D194" i="8" s="1"/>
  <c r="AL12" i="2"/>
  <c r="T21" i="2"/>
  <c r="S21" i="2"/>
  <c r="S13" i="2"/>
  <c r="S17" i="2"/>
  <c r="AK17" i="2" s="1"/>
  <c r="AK18" i="2" s="1"/>
  <c r="S14" i="2"/>
  <c r="Q18" i="2"/>
  <c r="R18" i="2"/>
  <c r="W86" i="1"/>
  <c r="AL116" i="1"/>
  <c r="S28" i="2"/>
  <c r="AR4" i="6"/>
  <c r="O47" i="6" s="1"/>
  <c r="AB129" i="1"/>
  <c r="F193" i="8"/>
  <c r="F194" i="8" s="1"/>
  <c r="C194" i="8"/>
  <c r="H188" i="8"/>
  <c r="U8" i="6"/>
  <c r="U39" i="6"/>
  <c r="U46" i="6"/>
  <c r="U40" i="6"/>
  <c r="U67" i="6"/>
  <c r="CE56" i="5"/>
  <c r="CG55" i="5"/>
  <c r="CF55" i="5"/>
  <c r="N21" i="2"/>
  <c r="N18" i="2"/>
  <c r="AG17" i="2"/>
  <c r="AG18" i="2" s="1"/>
  <c r="E44" i="6"/>
  <c r="E32" i="6"/>
  <c r="AI116" i="1"/>
  <c r="T86" i="1"/>
  <c r="L21" i="2"/>
  <c r="L13" i="2"/>
  <c r="L17" i="2"/>
  <c r="L14" i="2"/>
  <c r="AE12" i="2"/>
  <c r="AC12" i="2"/>
  <c r="AD12" i="2"/>
  <c r="AA22" i="5"/>
  <c r="Z22" i="5"/>
  <c r="Y23" i="5"/>
  <c r="AD60" i="6"/>
  <c r="AC60" i="6"/>
  <c r="AF59" i="6"/>
  <c r="AF87" i="6"/>
  <c r="B188" i="8"/>
  <c r="AK12" i="2"/>
  <c r="P21" i="2"/>
  <c r="P13" i="2"/>
  <c r="P17" i="2"/>
  <c r="P14" i="2"/>
  <c r="AI12" i="2"/>
  <c r="AH12" i="2"/>
  <c r="P15" i="2"/>
  <c r="M15" i="2"/>
  <c r="CH55" i="5"/>
  <c r="CI54" i="5"/>
  <c r="B39" i="8"/>
  <c r="U52" i="6"/>
  <c r="O53" i="6"/>
  <c r="O51" i="6"/>
  <c r="U51" i="6" s="1"/>
  <c r="O44" i="6"/>
  <c r="O42" i="6"/>
  <c r="O52" i="6"/>
  <c r="O45" i="6"/>
  <c r="O43" i="6"/>
  <c r="O50" i="6"/>
  <c r="O32" i="6"/>
  <c r="AG14" i="2" l="1"/>
  <c r="AI133" i="1"/>
  <c r="AJ17" i="2"/>
  <c r="AJ18" i="2" s="1"/>
  <c r="AH134" i="1"/>
  <c r="B38" i="8"/>
  <c r="D4" i="6" s="1"/>
  <c r="D32" i="6" s="1"/>
  <c r="B113" i="6"/>
  <c r="D113" i="6" s="1"/>
  <c r="F113" i="6" s="1"/>
  <c r="H113" i="6" s="1"/>
  <c r="J113" i="6" s="1"/>
  <c r="Y51" i="6"/>
  <c r="B109" i="6"/>
  <c r="D109" i="6" s="1"/>
  <c r="F109" i="6" s="1"/>
  <c r="H109" i="6" s="1"/>
  <c r="J109" i="6" s="1"/>
  <c r="Y47" i="6"/>
  <c r="Y43" i="6"/>
  <c r="B105" i="6"/>
  <c r="D105" i="6" s="1"/>
  <c r="F105" i="6" s="1"/>
  <c r="H105" i="6" s="1"/>
  <c r="J105" i="6" s="1"/>
  <c r="AI13" i="2"/>
  <c r="AI21" i="2"/>
  <c r="AI14" i="2"/>
  <c r="Y40" i="6"/>
  <c r="B102" i="6"/>
  <c r="D102" i="6" s="1"/>
  <c r="F102" i="6" s="1"/>
  <c r="H102" i="6" s="1"/>
  <c r="J102" i="6" s="1"/>
  <c r="D38" i="8"/>
  <c r="E38" i="8"/>
  <c r="D84" i="8" s="1"/>
  <c r="E84" i="8" s="1"/>
  <c r="Y45" i="6"/>
  <c r="B107" i="6"/>
  <c r="D107" i="6" s="1"/>
  <c r="F107" i="6" s="1"/>
  <c r="H107" i="6" s="1"/>
  <c r="J107" i="6" s="1"/>
  <c r="AJ21" i="2"/>
  <c r="C38" i="8"/>
  <c r="F4" i="6" s="1"/>
  <c r="CY114" i="5"/>
  <c r="DD80" i="5" s="1"/>
  <c r="DF80" i="5" s="1"/>
  <c r="AB112" i="1" s="1"/>
  <c r="DD79" i="5"/>
  <c r="DF79" i="5" s="1"/>
  <c r="AF17" i="2"/>
  <c r="AF18" i="2" s="1"/>
  <c r="M18" i="2"/>
  <c r="S142" i="1"/>
  <c r="S140" i="1"/>
  <c r="Y52" i="6"/>
  <c r="B114" i="6"/>
  <c r="D114" i="6" s="1"/>
  <c r="F114" i="6" s="1"/>
  <c r="H114" i="6" s="1"/>
  <c r="J114" i="6" s="1"/>
  <c r="CI55" i="5"/>
  <c r="CH56" i="5"/>
  <c r="CI56" i="5" s="1"/>
  <c r="AE13" i="2"/>
  <c r="AE21" i="2"/>
  <c r="AE14" i="2"/>
  <c r="CA55" i="5"/>
  <c r="BX56" i="5"/>
  <c r="CA56" i="5" s="1"/>
  <c r="DG80" i="5" s="1"/>
  <c r="B104" i="6"/>
  <c r="D104" i="6" s="1"/>
  <c r="F104" i="6" s="1"/>
  <c r="H104" i="6" s="1"/>
  <c r="J104" i="6" s="1"/>
  <c r="Y42" i="6"/>
  <c r="B27" i="8"/>
  <c r="E26" i="8"/>
  <c r="B29" i="8"/>
  <c r="B30" i="8"/>
  <c r="B31" i="8" s="1"/>
  <c r="B40" i="8"/>
  <c r="AK13" i="2"/>
  <c r="AK14" i="2"/>
  <c r="AK21" i="2"/>
  <c r="AI17" i="2"/>
  <c r="AI18" i="2" s="1"/>
  <c r="P18" i="2"/>
  <c r="AH17" i="2"/>
  <c r="AH18" i="2" s="1"/>
  <c r="AD13" i="2"/>
  <c r="AD21" i="2"/>
  <c r="AD14" i="2"/>
  <c r="AE17" i="2"/>
  <c r="AE18" i="2" s="1"/>
  <c r="L18" i="2"/>
  <c r="AD17" i="2"/>
  <c r="AD18" i="2" s="1"/>
  <c r="AC17" i="2"/>
  <c r="AC18" i="2" s="1"/>
  <c r="CG56" i="5"/>
  <c r="CF56" i="5"/>
  <c r="Y39" i="6"/>
  <c r="B101" i="6"/>
  <c r="D101" i="6" s="1"/>
  <c r="F101" i="6" s="1"/>
  <c r="H101" i="6" s="1"/>
  <c r="J101" i="6" s="1"/>
  <c r="S18" i="2"/>
  <c r="AL17" i="2"/>
  <c r="AL18" i="2" s="1"/>
  <c r="AL13" i="2"/>
  <c r="AL21" i="2"/>
  <c r="AL14" i="2"/>
  <c r="B99" i="6"/>
  <c r="G92" i="6"/>
  <c r="G99" i="6"/>
  <c r="AJ115" i="1"/>
  <c r="AI125" i="1"/>
  <c r="AI124" i="1"/>
  <c r="T21" i="5"/>
  <c r="S21" i="5"/>
  <c r="R22" i="5"/>
  <c r="D41" i="8"/>
  <c r="H33" i="6"/>
  <c r="U88" i="2"/>
  <c r="U89" i="2" s="1"/>
  <c r="V87" i="2"/>
  <c r="V88" i="2" s="1"/>
  <c r="V89" i="2" s="1"/>
  <c r="B108" i="6"/>
  <c r="D108" i="6" s="1"/>
  <c r="F108" i="6" s="1"/>
  <c r="H108" i="6" s="1"/>
  <c r="J108" i="6" s="1"/>
  <c r="Y46" i="6"/>
  <c r="AH13" i="2"/>
  <c r="AH21" i="2"/>
  <c r="AH14" i="2"/>
  <c r="AD72" i="6"/>
  <c r="AC72" i="6"/>
  <c r="E125" i="6"/>
  <c r="AF71" i="6"/>
  <c r="AA23" i="5"/>
  <c r="Z23" i="5"/>
  <c r="Y24" i="5"/>
  <c r="AC13" i="2"/>
  <c r="AC21" i="2"/>
  <c r="AC14" i="2"/>
  <c r="AI134" i="1"/>
  <c r="Y67" i="6"/>
  <c r="U69" i="6" a="1"/>
  <c r="U69" i="6" s="1"/>
  <c r="B121" i="6" s="1"/>
  <c r="D121" i="6" s="1"/>
  <c r="F121" i="6" s="1"/>
  <c r="H121" i="6" s="1"/>
  <c r="J121" i="6" s="1"/>
  <c r="AG70" i="6"/>
  <c r="AG72" i="6" s="1"/>
  <c r="Y69" i="6" a="1"/>
  <c r="Y69" i="6" s="1"/>
  <c r="B92" i="6"/>
  <c r="D32" i="8"/>
  <c r="AF21" i="2"/>
  <c r="AF14" i="2"/>
  <c r="AF13" i="2"/>
  <c r="AH130" i="1"/>
  <c r="AG21" i="2"/>
  <c r="AE42" i="4"/>
  <c r="AF42" i="4" s="1"/>
  <c r="Z43" i="4"/>
  <c r="E39" i="8"/>
  <c r="B32" i="8" l="1"/>
  <c r="B43" i="8"/>
  <c r="D44" i="6"/>
  <c r="AI130" i="1"/>
  <c r="AJ125" i="1"/>
  <c r="AJ124" i="1"/>
  <c r="AJ130" i="1" s="1"/>
  <c r="AK115" i="1"/>
  <c r="AJ133" i="1"/>
  <c r="DG79" i="5"/>
  <c r="AB109" i="1"/>
  <c r="F44" i="6"/>
  <c r="U44" i="6" s="1"/>
  <c r="F32" i="6"/>
  <c r="U32" i="6" s="1"/>
  <c r="AA47" i="6"/>
  <c r="AI47" i="6"/>
  <c r="AJ47" i="6" s="1"/>
  <c r="AK47" i="6" s="1"/>
  <c r="AL47" i="6" s="1"/>
  <c r="Z44" i="4"/>
  <c r="AE44" i="4" s="1"/>
  <c r="AF44" i="4" s="1"/>
  <c r="AE43" i="4"/>
  <c r="AF43" i="4" s="1"/>
  <c r="AF45" i="4" s="1"/>
  <c r="G118" i="6"/>
  <c r="X56" i="6" s="1"/>
  <c r="X37" i="6"/>
  <c r="Y37" i="6" s="1"/>
  <c r="AA39" i="6"/>
  <c r="AI39" i="6"/>
  <c r="AJ39" i="6" s="1"/>
  <c r="AK39" i="6" s="1"/>
  <c r="AL39" i="6" s="1"/>
  <c r="D105" i="7"/>
  <c r="AF73" i="6"/>
  <c r="S55" i="1"/>
  <c r="S67" i="1"/>
  <c r="S50" i="1"/>
  <c r="S69" i="1"/>
  <c r="S75" i="1"/>
  <c r="S63" i="1"/>
  <c r="S76" i="1"/>
  <c r="S68" i="1"/>
  <c r="S77" i="1"/>
  <c r="S57" i="1"/>
  <c r="S58" i="1"/>
  <c r="S53" i="1"/>
  <c r="D33" i="6"/>
  <c r="B41" i="8"/>
  <c r="E86" i="8"/>
  <c r="E87" i="8" s="1"/>
  <c r="AI40" i="6"/>
  <c r="AJ40" i="6" s="1"/>
  <c r="AK40" i="6" s="1"/>
  <c r="AL40" i="6" s="1"/>
  <c r="AA40" i="6"/>
  <c r="AI51" i="6"/>
  <c r="AJ51" i="6" s="1"/>
  <c r="AK51" i="6" s="1"/>
  <c r="AL51" i="6" s="1"/>
  <c r="AA51" i="6"/>
  <c r="D99" i="6"/>
  <c r="AM4" i="6"/>
  <c r="AA42" i="6"/>
  <c r="AI42" i="6"/>
  <c r="AJ42" i="6" s="1"/>
  <c r="AK42" i="6" s="1"/>
  <c r="AL42" i="6" s="1"/>
  <c r="S64" i="1"/>
  <c r="S31" i="1"/>
  <c r="S35" i="1"/>
  <c r="S45" i="1"/>
  <c r="S56" i="1"/>
  <c r="S61" i="1"/>
  <c r="S26" i="1"/>
  <c r="S27" i="1"/>
  <c r="S40" i="1"/>
  <c r="S48" i="1"/>
  <c r="S30" i="1"/>
  <c r="S43" i="1"/>
  <c r="S42" i="1"/>
  <c r="S47" i="1"/>
  <c r="S46" i="1"/>
  <c r="S44" i="1"/>
  <c r="S37" i="1"/>
  <c r="S65" i="1"/>
  <c r="S36" i="1"/>
  <c r="S34" i="1"/>
  <c r="S29" i="1"/>
  <c r="S60" i="1"/>
  <c r="S39" i="1"/>
  <c r="S33" i="1"/>
  <c r="S32" i="1"/>
  <c r="S28" i="1"/>
  <c r="D92" i="6"/>
  <c r="AI69" i="6"/>
  <c r="AJ69" i="6" s="1"/>
  <c r="AK69" i="6" s="1"/>
  <c r="AL69" i="6" s="1"/>
  <c r="Z69" i="6"/>
  <c r="AA69" i="6"/>
  <c r="AA24" i="5"/>
  <c r="Y25" i="5"/>
  <c r="Z24" i="5"/>
  <c r="T118" i="1" s="1"/>
  <c r="AA46" i="6"/>
  <c r="AI46" i="6"/>
  <c r="AJ46" i="6" s="1"/>
  <c r="AK46" i="6" s="1"/>
  <c r="AL46" i="6" s="1"/>
  <c r="T22" i="5"/>
  <c r="S22" i="5"/>
  <c r="R23" i="5"/>
  <c r="G123" i="6"/>
  <c r="X8" i="6"/>
  <c r="E29" i="8"/>
  <c r="E27" i="8"/>
  <c r="E40" i="8"/>
  <c r="E30" i="8"/>
  <c r="E31" i="8" s="1"/>
  <c r="E43" i="8" s="1"/>
  <c r="AA52" i="6"/>
  <c r="AI52" i="6"/>
  <c r="AJ52" i="6" s="1"/>
  <c r="AK52" i="6" s="1"/>
  <c r="AL52" i="6" s="1"/>
  <c r="AN4" i="6"/>
  <c r="AA45" i="6"/>
  <c r="AI45" i="6"/>
  <c r="AJ45" i="6" s="1"/>
  <c r="AK45" i="6" s="1"/>
  <c r="AL45" i="6" s="1"/>
  <c r="AA43" i="6"/>
  <c r="AI43" i="6"/>
  <c r="AJ43" i="6" s="1"/>
  <c r="AK43" i="6" s="1"/>
  <c r="AL43" i="6" s="1"/>
  <c r="B106" i="6" l="1"/>
  <c r="D106" i="6" s="1"/>
  <c r="F106" i="6" s="1"/>
  <c r="H106" i="6" s="1"/>
  <c r="J106" i="6" s="1"/>
  <c r="Y44" i="6"/>
  <c r="T23" i="5"/>
  <c r="S23" i="5"/>
  <c r="R24" i="5"/>
  <c r="AF70" i="6"/>
  <c r="F92" i="6"/>
  <c r="Y8" i="6"/>
  <c r="AG9" i="6"/>
  <c r="Z25" i="5"/>
  <c r="Y26" i="5"/>
  <c r="AA25" i="5"/>
  <c r="B95" i="6"/>
  <c r="D95" i="6" s="1"/>
  <c r="F95" i="6" s="1"/>
  <c r="H95" i="6" s="1"/>
  <c r="J95" i="6" s="1"/>
  <c r="S78" i="1"/>
  <c r="X59" i="6"/>
  <c r="X71" i="6" s="1"/>
  <c r="F99" i="6"/>
  <c r="AL115" i="1"/>
  <c r="AK125" i="1"/>
  <c r="AK124" i="1"/>
  <c r="AK130" i="1" s="1"/>
  <c r="AK133" i="1"/>
  <c r="E32" i="8"/>
  <c r="AB113" i="1"/>
  <c r="AB136" i="1" s="1"/>
  <c r="S72" i="1"/>
  <c r="S79" i="1" s="1"/>
  <c r="S81" i="1" s="1"/>
  <c r="AI37" i="6"/>
  <c r="AJ37" i="6" s="1"/>
  <c r="AK37" i="6" s="1"/>
  <c r="AL37" i="6" s="1"/>
  <c r="AA37" i="6"/>
  <c r="J53" i="6"/>
  <c r="U53" i="6" s="1"/>
  <c r="J48" i="6"/>
  <c r="U48" i="6" s="1"/>
  <c r="J50" i="6"/>
  <c r="U50" i="6" s="1"/>
  <c r="J49" i="6"/>
  <c r="U49" i="6" s="1"/>
  <c r="J41" i="6"/>
  <c r="U41" i="6" s="1"/>
  <c r="U59" i="6" s="1" a="1"/>
  <c r="D87" i="8"/>
  <c r="E88" i="8"/>
  <c r="C41" i="8"/>
  <c r="E41" i="8" s="1"/>
  <c r="I41" i="8" s="1"/>
  <c r="F33" i="6"/>
  <c r="AJ134" i="1"/>
  <c r="U59" i="6" l="1"/>
  <c r="U71" i="6" s="1"/>
  <c r="U87" i="6" s="1"/>
  <c r="Y32" i="6"/>
  <c r="S93" i="1"/>
  <c r="S82" i="1"/>
  <c r="B111" i="6"/>
  <c r="D111" i="6" s="1"/>
  <c r="F111" i="6" s="1"/>
  <c r="H111" i="6" s="1"/>
  <c r="J111" i="6" s="1"/>
  <c r="Y49" i="6"/>
  <c r="B112" i="6"/>
  <c r="D112" i="6" s="1"/>
  <c r="F112" i="6" s="1"/>
  <c r="H112" i="6" s="1"/>
  <c r="J112" i="6" s="1"/>
  <c r="Y50" i="6"/>
  <c r="Y48" i="6"/>
  <c r="B110" i="6"/>
  <c r="D110" i="6" s="1"/>
  <c r="F110" i="6" s="1"/>
  <c r="H110" i="6" s="1"/>
  <c r="J110" i="6" s="1"/>
  <c r="AL125" i="1"/>
  <c r="AL124" i="1"/>
  <c r="AM115" i="1"/>
  <c r="AL133" i="1"/>
  <c r="Y9" i="6"/>
  <c r="Y10" i="6" s="1"/>
  <c r="Z8" i="6"/>
  <c r="AA8" i="6" s="1"/>
  <c r="AF9" i="6" s="1"/>
  <c r="AI8" i="6"/>
  <c r="AJ8" i="6" s="1"/>
  <c r="AK8" i="6" s="1"/>
  <c r="AL8" i="6" s="1"/>
  <c r="AA44" i="6"/>
  <c r="AI44" i="6"/>
  <c r="AJ44" i="6" s="1"/>
  <c r="AK44" i="6" s="1"/>
  <c r="AL44" i="6" s="1"/>
  <c r="H99" i="6"/>
  <c r="AG57" i="6"/>
  <c r="AG60" i="6" s="1"/>
  <c r="B103" i="6"/>
  <c r="Y41" i="6"/>
  <c r="U56" i="6" a="1"/>
  <c r="U56" i="6" s="1"/>
  <c r="Y53" i="6"/>
  <c r="B115" i="6"/>
  <c r="D115" i="6" s="1"/>
  <c r="F115" i="6" s="1"/>
  <c r="H115" i="6" s="1"/>
  <c r="J115" i="6" s="1"/>
  <c r="AK134" i="1"/>
  <c r="Z26" i="5"/>
  <c r="Y27" i="5"/>
  <c r="AA26" i="5"/>
  <c r="H92" i="6"/>
  <c r="T24" i="5"/>
  <c r="R25" i="5"/>
  <c r="S24" i="5"/>
  <c r="T117" i="1" s="1"/>
  <c r="AL130" i="1" l="1"/>
  <c r="Z27" i="5"/>
  <c r="Y28" i="5"/>
  <c r="AA27" i="5"/>
  <c r="AA53" i="6"/>
  <c r="AI53" i="6"/>
  <c r="AJ53" i="6" s="1"/>
  <c r="AK53" i="6" s="1"/>
  <c r="AL53" i="6" s="1"/>
  <c r="AL134" i="1"/>
  <c r="AA49" i="6"/>
  <c r="AI49" i="6"/>
  <c r="AJ49" i="6" s="1"/>
  <c r="AK49" i="6" s="1"/>
  <c r="AL49" i="6" s="1"/>
  <c r="AI32" i="6"/>
  <c r="AJ32" i="6" s="1"/>
  <c r="AK32" i="6" s="1"/>
  <c r="AL32" i="6" s="1"/>
  <c r="Y33" i="6"/>
  <c r="AA32" i="6"/>
  <c r="T142" i="1"/>
  <c r="T140" i="1"/>
  <c r="AA41" i="6"/>
  <c r="AI41" i="6"/>
  <c r="AJ41" i="6" s="1"/>
  <c r="AK41" i="6" s="1"/>
  <c r="AL41" i="6" s="1"/>
  <c r="Y56" i="6"/>
  <c r="J99" i="6"/>
  <c r="AA50" i="6"/>
  <c r="AI50" i="6"/>
  <c r="AJ50" i="6" s="1"/>
  <c r="AK50" i="6" s="1"/>
  <c r="AL50" i="6" s="1"/>
  <c r="S90" i="1"/>
  <c r="S84" i="1"/>
  <c r="S87" i="1" s="1"/>
  <c r="S88" i="1" s="1"/>
  <c r="S91" i="1"/>
  <c r="S83" i="1"/>
  <c r="S25" i="5"/>
  <c r="R26" i="5"/>
  <c r="T25" i="5"/>
  <c r="D103" i="6"/>
  <c r="B118" i="6"/>
  <c r="B123" i="6" s="1"/>
  <c r="J92" i="6"/>
  <c r="AN115" i="1"/>
  <c r="AM124" i="1"/>
  <c r="AM125" i="1"/>
  <c r="AM133" i="1"/>
  <c r="AA48" i="6"/>
  <c r="AI48" i="6"/>
  <c r="AJ48" i="6" s="1"/>
  <c r="AK48" i="6" s="1"/>
  <c r="AL48" i="6" s="1"/>
  <c r="AM130" i="1" l="1"/>
  <c r="Y34" i="6"/>
  <c r="AN125" i="1"/>
  <c r="AN124" i="1"/>
  <c r="AO115" i="1"/>
  <c r="AN133" i="1"/>
  <c r="F103" i="6"/>
  <c r="D118" i="6"/>
  <c r="D123" i="6" s="1"/>
  <c r="T34" i="1"/>
  <c r="T46" i="1"/>
  <c r="T35" i="1"/>
  <c r="T37" i="1"/>
  <c r="T33" i="1"/>
  <c r="T45" i="1"/>
  <c r="T47" i="1"/>
  <c r="T42" i="1"/>
  <c r="T60" i="1"/>
  <c r="T56" i="1"/>
  <c r="T36" i="1"/>
  <c r="T26" i="1"/>
  <c r="T29" i="1"/>
  <c r="T43" i="1"/>
  <c r="T30" i="1"/>
  <c r="T40" i="1"/>
  <c r="T44" i="1"/>
  <c r="T28" i="1"/>
  <c r="T48" i="1"/>
  <c r="T39" i="1"/>
  <c r="T64" i="1"/>
  <c r="T61" i="1"/>
  <c r="T32" i="1"/>
  <c r="T27" i="1"/>
  <c r="T65" i="1"/>
  <c r="T31" i="1"/>
  <c r="Y29" i="5"/>
  <c r="Z28" i="5"/>
  <c r="U118" i="1" s="1"/>
  <c r="AA28" i="5"/>
  <c r="S26" i="5"/>
  <c r="R27" i="5"/>
  <c r="T26" i="5"/>
  <c r="AG33" i="6"/>
  <c r="AA33" i="6"/>
  <c r="AF33" i="6"/>
  <c r="AM134" i="1"/>
  <c r="Y57" i="6"/>
  <c r="Y58" i="6" s="1"/>
  <c r="AI56" i="6"/>
  <c r="AA56" i="6"/>
  <c r="Z56" i="6"/>
  <c r="T77" i="1"/>
  <c r="T50" i="1"/>
  <c r="T68" i="1"/>
  <c r="T75" i="1"/>
  <c r="T55" i="1"/>
  <c r="T63" i="1"/>
  <c r="T69" i="1"/>
  <c r="T57" i="1"/>
  <c r="T58" i="1"/>
  <c r="T67" i="1"/>
  <c r="T76" i="1"/>
  <c r="T53" i="1"/>
  <c r="Y59" i="6"/>
  <c r="AF58" i="6" l="1"/>
  <c r="AA58" i="6"/>
  <c r="T72" i="1"/>
  <c r="AP115" i="1"/>
  <c r="AO125" i="1"/>
  <c r="AO124" i="1"/>
  <c r="AO130" i="1" s="1"/>
  <c r="AO133" i="1"/>
  <c r="AO134" i="1" s="1"/>
  <c r="AA59" i="6"/>
  <c r="Z59" i="6"/>
  <c r="Z71" i="6" s="1"/>
  <c r="Z87" i="6" s="1"/>
  <c r="Y60" i="6"/>
  <c r="Y71" i="6"/>
  <c r="Y72" i="6" s="1"/>
  <c r="H103" i="6"/>
  <c r="F118" i="6"/>
  <c r="F123" i="6" s="1"/>
  <c r="T78" i="1"/>
  <c r="AN134" i="1"/>
  <c r="AF57" i="6"/>
  <c r="AA57" i="6"/>
  <c r="AJ56" i="6"/>
  <c r="AI59" i="6"/>
  <c r="AI71" i="6" s="1"/>
  <c r="S27" i="5"/>
  <c r="R28" i="5"/>
  <c r="T27" i="5"/>
  <c r="Y30" i="5"/>
  <c r="AA29" i="5"/>
  <c r="Z29" i="5"/>
  <c r="AN130" i="1"/>
  <c r="T79" i="1" l="1"/>
  <c r="T81" i="1" s="1"/>
  <c r="T93" i="1" s="1"/>
  <c r="J103" i="6"/>
  <c r="J118" i="6" s="1"/>
  <c r="J123" i="6" s="1"/>
  <c r="H118" i="6"/>
  <c r="H123" i="6" s="1"/>
  <c r="AA60" i="6"/>
  <c r="AF60" i="6"/>
  <c r="AA71" i="6"/>
  <c r="AP125" i="1"/>
  <c r="AP124" i="1"/>
  <c r="AQ115" i="1"/>
  <c r="AP133" i="1"/>
  <c r="Y31" i="5"/>
  <c r="AA30" i="5"/>
  <c r="Z30" i="5"/>
  <c r="Y73" i="6"/>
  <c r="AA73" i="6" s="1"/>
  <c r="AJ59" i="6"/>
  <c r="AJ71" i="6" s="1"/>
  <c r="AK56" i="6"/>
  <c r="R29" i="5"/>
  <c r="S28" i="5"/>
  <c r="U117" i="1" s="1"/>
  <c r="T28" i="5"/>
  <c r="T82" i="1" l="1"/>
  <c r="T91" i="1" s="1"/>
  <c r="U142" i="1"/>
  <c r="U140" i="1"/>
  <c r="Y32" i="5"/>
  <c r="AA31" i="5"/>
  <c r="Z31" i="5"/>
  <c r="AP134" i="1"/>
  <c r="AF72" i="6"/>
  <c r="AA72" i="6"/>
  <c r="B1" i="6"/>
  <c r="AA87" i="6"/>
  <c r="AK59" i="6"/>
  <c r="AK71" i="6" s="1"/>
  <c r="AL56" i="6"/>
  <c r="AL59" i="6" s="1"/>
  <c r="AL71" i="6" s="1"/>
  <c r="AQ124" i="1"/>
  <c r="AQ125" i="1"/>
  <c r="AQ133" i="1"/>
  <c r="AQ134" i="1" s="1"/>
  <c r="R30" i="5"/>
  <c r="T29" i="5"/>
  <c r="S29" i="5"/>
  <c r="AP130" i="1"/>
  <c r="T83" i="1" l="1"/>
  <c r="T84" i="1"/>
  <c r="T87" i="1" s="1"/>
  <c r="T88" i="1" s="1"/>
  <c r="T90" i="1"/>
  <c r="U61" i="1"/>
  <c r="U27" i="1"/>
  <c r="U26" i="1"/>
  <c r="U31" i="1"/>
  <c r="U65" i="1"/>
  <c r="U34" i="1"/>
  <c r="U36" i="1"/>
  <c r="U43" i="1"/>
  <c r="U44" i="1"/>
  <c r="U39" i="1"/>
  <c r="U42" i="1"/>
  <c r="U28" i="1"/>
  <c r="U64" i="1"/>
  <c r="U32" i="1"/>
  <c r="U47" i="1"/>
  <c r="U56" i="1"/>
  <c r="U60" i="1"/>
  <c r="U40" i="1"/>
  <c r="U37" i="1"/>
  <c r="U45" i="1"/>
  <c r="U29" i="1"/>
  <c r="U48" i="1"/>
  <c r="U35" i="1"/>
  <c r="U46" i="1"/>
  <c r="U33" i="1"/>
  <c r="U30" i="1"/>
  <c r="AA32" i="5"/>
  <c r="Z32" i="5"/>
  <c r="V118" i="1" s="1"/>
  <c r="Y33" i="5"/>
  <c r="R31" i="5"/>
  <c r="T30" i="5"/>
  <c r="S30" i="5"/>
  <c r="AQ130" i="1"/>
  <c r="B5" i="6"/>
  <c r="B2" i="6"/>
  <c r="D103" i="7"/>
  <c r="D104" i="7" s="1"/>
  <c r="D106" i="7" s="1"/>
  <c r="U58" i="1"/>
  <c r="U57" i="1"/>
  <c r="U68" i="1"/>
  <c r="U63" i="1"/>
  <c r="U77" i="1"/>
  <c r="U53" i="1"/>
  <c r="U75" i="1"/>
  <c r="U76" i="1"/>
  <c r="U55" i="1"/>
  <c r="U69" i="1"/>
  <c r="U67" i="1"/>
  <c r="U72" i="1" l="1"/>
  <c r="U78" i="1"/>
  <c r="R32" i="5"/>
  <c r="T31" i="5"/>
  <c r="S31" i="5"/>
  <c r="AA33" i="5"/>
  <c r="Z33" i="5"/>
  <c r="Y34" i="5"/>
  <c r="U79" i="1" l="1"/>
  <c r="U81" i="1" s="1"/>
  <c r="U93" i="1" s="1"/>
  <c r="AA34" i="5"/>
  <c r="Z34" i="5"/>
  <c r="Y35" i="5"/>
  <c r="T32" i="5"/>
  <c r="R33" i="5"/>
  <c r="S32" i="5"/>
  <c r="V117" i="1" s="1"/>
  <c r="U82" i="1" l="1"/>
  <c r="U90" i="1" s="1"/>
  <c r="V142" i="1"/>
  <c r="V140" i="1"/>
  <c r="T33" i="5"/>
  <c r="S33" i="5"/>
  <c r="R34" i="5"/>
  <c r="AA35" i="5"/>
  <c r="Z35" i="5"/>
  <c r="Y36" i="5"/>
  <c r="U84" i="1" l="1"/>
  <c r="U87" i="1" s="1"/>
  <c r="U88" i="1" s="1"/>
  <c r="U83" i="1"/>
  <c r="U91" i="1"/>
  <c r="V31" i="1"/>
  <c r="V30" i="1"/>
  <c r="V39" i="1"/>
  <c r="V45" i="1"/>
  <c r="V37" i="1"/>
  <c r="V29" i="1"/>
  <c r="V65" i="1"/>
  <c r="V61" i="1"/>
  <c r="V46" i="1"/>
  <c r="V40" i="1"/>
  <c r="V43" i="1"/>
  <c r="V27" i="1"/>
  <c r="V35" i="1"/>
  <c r="V33" i="1"/>
  <c r="V44" i="1"/>
  <c r="V47" i="1"/>
  <c r="V48" i="1"/>
  <c r="V34" i="1"/>
  <c r="V28" i="1"/>
  <c r="V42" i="1"/>
  <c r="V60" i="1"/>
  <c r="V36" i="1"/>
  <c r="V64" i="1"/>
  <c r="V56" i="1"/>
  <c r="V32" i="1"/>
  <c r="V26" i="1"/>
  <c r="AA36" i="5"/>
  <c r="Y37" i="5"/>
  <c r="Z36" i="5"/>
  <c r="W118" i="1" s="1"/>
  <c r="T34" i="5"/>
  <c r="S34" i="5"/>
  <c r="R35" i="5"/>
  <c r="V76" i="1"/>
  <c r="V75" i="1"/>
  <c r="V69" i="1"/>
  <c r="V68" i="1"/>
  <c r="V53" i="1"/>
  <c r="V63" i="1"/>
  <c r="V57" i="1"/>
  <c r="V55" i="1"/>
  <c r="V77" i="1"/>
  <c r="V67" i="1"/>
  <c r="V58" i="1"/>
  <c r="T35" i="5" l="1"/>
  <c r="S35" i="5"/>
  <c r="R36" i="5"/>
  <c r="AA37" i="5"/>
  <c r="Z37" i="5"/>
  <c r="Y38" i="5"/>
  <c r="V72" i="1"/>
  <c r="V78" i="1"/>
  <c r="V79" i="1" l="1"/>
  <c r="V81" i="1" s="1"/>
  <c r="V93" i="1" s="1"/>
  <c r="T36" i="5"/>
  <c r="R37" i="5"/>
  <c r="S36" i="5"/>
  <c r="W117" i="1" s="1"/>
  <c r="AA38" i="5"/>
  <c r="Z38" i="5"/>
  <c r="Y39" i="5"/>
  <c r="V82" i="1" l="1"/>
  <c r="V90" i="1" s="1"/>
  <c r="AA39" i="5"/>
  <c r="Z39" i="5"/>
  <c r="Y40" i="5"/>
  <c r="T37" i="5"/>
  <c r="S37" i="5"/>
  <c r="R38" i="5"/>
  <c r="W142" i="1"/>
  <c r="W140" i="1"/>
  <c r="V83" i="1" l="1"/>
  <c r="V84" i="1"/>
  <c r="V87" i="1" s="1"/>
  <c r="V88" i="1" s="1"/>
  <c r="V91" i="1"/>
  <c r="W62" i="1"/>
  <c r="W53" i="1"/>
  <c r="W58" i="1"/>
  <c r="W75" i="1"/>
  <c r="W68" i="1"/>
  <c r="W69" i="1"/>
  <c r="W63" i="1"/>
  <c r="W55" i="1"/>
  <c r="W57" i="1"/>
  <c r="W67" i="1"/>
  <c r="W77" i="1"/>
  <c r="W76" i="1"/>
  <c r="T38" i="5"/>
  <c r="S38" i="5"/>
  <c r="R39" i="5"/>
  <c r="AA40" i="5"/>
  <c r="Y41" i="5"/>
  <c r="Z40" i="5"/>
  <c r="X118" i="1" s="1"/>
  <c r="W66" i="1"/>
  <c r="W28" i="1"/>
  <c r="W39" i="1"/>
  <c r="W34" i="1"/>
  <c r="W30" i="1"/>
  <c r="W60" i="1"/>
  <c r="W37" i="1"/>
  <c r="W42" i="1"/>
  <c r="W40" i="1"/>
  <c r="W35" i="1"/>
  <c r="W47" i="1"/>
  <c r="W64" i="1"/>
  <c r="W29" i="1"/>
  <c r="W46" i="1"/>
  <c r="W56" i="1"/>
  <c r="W27" i="1"/>
  <c r="W44" i="1"/>
  <c r="W26" i="1"/>
  <c r="W33" i="1"/>
  <c r="W48" i="1"/>
  <c r="W31" i="1"/>
  <c r="W61" i="1"/>
  <c r="W43" i="1"/>
  <c r="W45" i="1"/>
  <c r="W65" i="1"/>
  <c r="W36" i="1"/>
  <c r="W32" i="1"/>
  <c r="W78" i="1" l="1"/>
  <c r="T39" i="5"/>
  <c r="S39" i="5"/>
  <c r="R40" i="5"/>
  <c r="W72" i="1"/>
  <c r="Y42" i="5"/>
  <c r="Z41" i="5"/>
  <c r="AA41" i="5"/>
  <c r="W79" i="1" l="1"/>
  <c r="W81" i="1" s="1"/>
  <c r="W93" i="1" s="1"/>
  <c r="AA42" i="5"/>
  <c r="Y43" i="5"/>
  <c r="Z42" i="5"/>
  <c r="T40" i="5"/>
  <c r="R41" i="5"/>
  <c r="S40" i="5"/>
  <c r="X117" i="1" s="1"/>
  <c r="W82" i="1" l="1"/>
  <c r="W90" i="1" s="1"/>
  <c r="X142" i="1"/>
  <c r="X140" i="1"/>
  <c r="R42" i="5"/>
  <c r="S41" i="5"/>
  <c r="T41" i="5"/>
  <c r="Y44" i="5"/>
  <c r="AA43" i="5"/>
  <c r="Z43" i="5"/>
  <c r="W83" i="1" l="1"/>
  <c r="W91" i="1"/>
  <c r="W84" i="1"/>
  <c r="W87" i="1" s="1"/>
  <c r="W88" i="1" s="1"/>
  <c r="X61" i="1"/>
  <c r="X65" i="1"/>
  <c r="X35" i="1"/>
  <c r="X30" i="1"/>
  <c r="X45" i="1"/>
  <c r="X64" i="1"/>
  <c r="X43" i="1"/>
  <c r="X39" i="1"/>
  <c r="X48" i="1"/>
  <c r="X33" i="1"/>
  <c r="X26" i="1"/>
  <c r="X29" i="1"/>
  <c r="X34" i="1"/>
  <c r="X47" i="1"/>
  <c r="X27" i="1"/>
  <c r="X37" i="1"/>
  <c r="X46" i="1"/>
  <c r="X44" i="1"/>
  <c r="X36" i="1"/>
  <c r="X60" i="1"/>
  <c r="X31" i="1"/>
  <c r="X66" i="1"/>
  <c r="X42" i="1"/>
  <c r="X28" i="1"/>
  <c r="X40" i="1"/>
  <c r="X32" i="1"/>
  <c r="T42" i="5"/>
  <c r="R43" i="5"/>
  <c r="S42" i="5"/>
  <c r="Y45" i="5"/>
  <c r="AA44" i="5"/>
  <c r="Z44" i="5"/>
  <c r="Y118" i="1" s="1"/>
  <c r="X53" i="1"/>
  <c r="X75" i="1"/>
  <c r="X57" i="1"/>
  <c r="X68" i="1"/>
  <c r="X67" i="1"/>
  <c r="X63" i="1"/>
  <c r="X55" i="1"/>
  <c r="X77" i="1"/>
  <c r="X76" i="1"/>
  <c r="X62" i="1"/>
  <c r="X69" i="1"/>
  <c r="X58" i="1"/>
  <c r="R44" i="5" l="1"/>
  <c r="T43" i="5"/>
  <c r="S43" i="5"/>
  <c r="X78" i="1"/>
  <c r="AA45" i="5"/>
  <c r="Z45" i="5"/>
  <c r="Y46" i="5"/>
  <c r="X72" i="1"/>
  <c r="X79" i="1" s="1"/>
  <c r="X81" i="1" s="1"/>
  <c r="X93" i="1" l="1"/>
  <c r="X82" i="1"/>
  <c r="Y47" i="5"/>
  <c r="AA46" i="5"/>
  <c r="Z46" i="5"/>
  <c r="R45" i="5"/>
  <c r="T44" i="5"/>
  <c r="S44" i="5"/>
  <c r="Y117" i="1" s="1"/>
  <c r="Y60" i="5" l="1"/>
  <c r="Y59" i="5"/>
  <c r="Y58" i="5"/>
  <c r="Y48" i="5"/>
  <c r="AA47" i="5"/>
  <c r="Z47" i="5"/>
  <c r="Y142" i="1"/>
  <c r="Y140" i="1"/>
  <c r="T45" i="5"/>
  <c r="S45" i="5"/>
  <c r="R46" i="5"/>
  <c r="X83" i="1"/>
  <c r="X91" i="1"/>
  <c r="X90" i="1"/>
  <c r="X84" i="1"/>
  <c r="X87" i="1" s="1"/>
  <c r="X88" i="1" s="1"/>
  <c r="Y29" i="1" l="1"/>
  <c r="Y44" i="1"/>
  <c r="Y65" i="1"/>
  <c r="Y28" i="1"/>
  <c r="Y35" i="1"/>
  <c r="Y40" i="1"/>
  <c r="Y48" i="1"/>
  <c r="Y47" i="1"/>
  <c r="Y37" i="1"/>
  <c r="Y45" i="1"/>
  <c r="Y32" i="1"/>
  <c r="Y27" i="1"/>
  <c r="Y46" i="1"/>
  <c r="Y36" i="1"/>
  <c r="Y64" i="1"/>
  <c r="Y34" i="1"/>
  <c r="Y30" i="1"/>
  <c r="Y26" i="1"/>
  <c r="Y42" i="1"/>
  <c r="Y31" i="1"/>
  <c r="Y43" i="1"/>
  <c r="Y33" i="1"/>
  <c r="Y39" i="1"/>
  <c r="Y61" i="1"/>
  <c r="Y60" i="1"/>
  <c r="Y66" i="1"/>
  <c r="Y49" i="5"/>
  <c r="AA48" i="5"/>
  <c r="Z48" i="5"/>
  <c r="Z118" i="1" s="1"/>
  <c r="R47" i="5"/>
  <c r="T46" i="5"/>
  <c r="S46" i="5"/>
  <c r="Y63" i="1"/>
  <c r="Y55" i="1"/>
  <c r="Y76" i="1"/>
  <c r="Y57" i="1"/>
  <c r="Y77" i="1"/>
  <c r="Y69" i="1"/>
  <c r="Y53" i="1"/>
  <c r="Y75" i="1"/>
  <c r="Y58" i="1"/>
  <c r="Y67" i="1"/>
  <c r="Y62" i="1"/>
  <c r="Y68" i="1"/>
  <c r="Y78" i="1" l="1"/>
  <c r="Y72" i="1"/>
  <c r="Z49" i="5"/>
  <c r="Y50" i="5"/>
  <c r="AA49" i="5"/>
  <c r="R59" i="5"/>
  <c r="R58" i="5"/>
  <c r="R48" i="5"/>
  <c r="T47" i="5"/>
  <c r="S47" i="5"/>
  <c r="R60" i="5"/>
  <c r="Y79" i="1" l="1"/>
  <c r="Y81" i="1" s="1"/>
  <c r="Y93" i="1" s="1"/>
  <c r="R49" i="5"/>
  <c r="S48" i="5"/>
  <c r="Z117" i="1" s="1"/>
  <c r="S62" i="5"/>
  <c r="S63" i="5" s="1"/>
  <c r="T48" i="5"/>
  <c r="Y51" i="5"/>
  <c r="AA50" i="5"/>
  <c r="Z50" i="5"/>
  <c r="Y82" i="1" l="1"/>
  <c r="Y91" i="1" s="1"/>
  <c r="Z140" i="1"/>
  <c r="Z142" i="1"/>
  <c r="R50" i="5"/>
  <c r="T49" i="5"/>
  <c r="S49" i="5"/>
  <c r="Z51" i="5"/>
  <c r="Y52" i="5"/>
  <c r="AA51" i="5"/>
  <c r="Y83" i="1" l="1"/>
  <c r="Y84" i="1"/>
  <c r="Y87" i="1" s="1"/>
  <c r="Y88" i="1" s="1"/>
  <c r="Y90" i="1"/>
  <c r="AA52" i="5"/>
  <c r="Z52" i="5"/>
  <c r="Z58" i="1"/>
  <c r="AA58" i="1" s="1"/>
  <c r="AB58" i="1" s="1"/>
  <c r="Z57" i="1"/>
  <c r="AA57" i="1" s="1"/>
  <c r="AB57" i="1" s="1"/>
  <c r="Z62" i="1"/>
  <c r="AA62" i="1" s="1"/>
  <c r="AB62" i="1" s="1"/>
  <c r="Z67" i="1"/>
  <c r="AA67" i="1" s="1"/>
  <c r="AB67" i="1" s="1"/>
  <c r="Z75" i="1"/>
  <c r="Z76" i="1"/>
  <c r="AA76" i="1" s="1"/>
  <c r="AB76" i="1" s="1"/>
  <c r="Z68" i="1"/>
  <c r="AA68" i="1" s="1"/>
  <c r="AB68" i="1" s="1"/>
  <c r="Z53" i="1"/>
  <c r="AA53" i="1" s="1"/>
  <c r="AB53" i="1" s="1"/>
  <c r="Z69" i="1"/>
  <c r="AA69" i="1" s="1"/>
  <c r="AB69" i="1" s="1"/>
  <c r="Z77" i="1"/>
  <c r="AA77" i="1" s="1"/>
  <c r="AB77" i="1" s="1"/>
  <c r="Z55" i="1"/>
  <c r="AA55" i="1" s="1"/>
  <c r="AB55" i="1" s="1"/>
  <c r="Z63" i="1"/>
  <c r="AA63" i="1" s="1"/>
  <c r="AB63" i="1" s="1"/>
  <c r="R51" i="5"/>
  <c r="T50" i="5"/>
  <c r="S50" i="5"/>
  <c r="Z64" i="1"/>
  <c r="AA64" i="1" s="1"/>
  <c r="AB64" i="1" s="1"/>
  <c r="Z26" i="1"/>
  <c r="Z44" i="1"/>
  <c r="AA44" i="1" s="1"/>
  <c r="AB44" i="1" s="1"/>
  <c r="Z43" i="1"/>
  <c r="AA43" i="1" s="1"/>
  <c r="AB43" i="1" s="1"/>
  <c r="Z35" i="1"/>
  <c r="AA35" i="1" s="1"/>
  <c r="AB35" i="1" s="1"/>
  <c r="Z29" i="1"/>
  <c r="AA29" i="1" s="1"/>
  <c r="AB29" i="1" s="1"/>
  <c r="Z48" i="1"/>
  <c r="AA48" i="1" s="1"/>
  <c r="AB48" i="1" s="1"/>
  <c r="Z45" i="1"/>
  <c r="AA45" i="1" s="1"/>
  <c r="AB45" i="1" s="1"/>
  <c r="Z46" i="1"/>
  <c r="AA46" i="1" s="1"/>
  <c r="AB46" i="1" s="1"/>
  <c r="Z65" i="1"/>
  <c r="AA65" i="1" s="1"/>
  <c r="AB65" i="1" s="1"/>
  <c r="Z40" i="1"/>
  <c r="AA40" i="1" s="1"/>
  <c r="AB40" i="1" s="1"/>
  <c r="Z60" i="1"/>
  <c r="AA60" i="1" s="1"/>
  <c r="AB60" i="1" s="1"/>
  <c r="Z37" i="1"/>
  <c r="AA37" i="1" s="1"/>
  <c r="AB37" i="1" s="1"/>
  <c r="Z61" i="1"/>
  <c r="AA61" i="1" s="1"/>
  <c r="AB61" i="1" s="1"/>
  <c r="Z27" i="1"/>
  <c r="Z32" i="1"/>
  <c r="AA32" i="1" s="1"/>
  <c r="AB32" i="1" s="1"/>
  <c r="Z66" i="1"/>
  <c r="AA66" i="1" s="1"/>
  <c r="AB66" i="1" s="1"/>
  <c r="Z36" i="1"/>
  <c r="AA36" i="1" s="1"/>
  <c r="AB36" i="1" s="1"/>
  <c r="Z30" i="1"/>
  <c r="AA30" i="1" s="1"/>
  <c r="AB30" i="1" s="1"/>
  <c r="Z31" i="1"/>
  <c r="AA31" i="1" s="1"/>
  <c r="AB31" i="1" s="1"/>
  <c r="Z47" i="1"/>
  <c r="AA47" i="1" s="1"/>
  <c r="AB47" i="1" s="1"/>
  <c r="Z39" i="1"/>
  <c r="AA39" i="1" s="1"/>
  <c r="AB39" i="1" s="1"/>
  <c r="Z33" i="1"/>
  <c r="AA33" i="1" s="1"/>
  <c r="AB33" i="1" s="1"/>
  <c r="Z34" i="1"/>
  <c r="AA34" i="1" s="1"/>
  <c r="AB34" i="1" s="1"/>
  <c r="Z28" i="1"/>
  <c r="AA28" i="1" s="1"/>
  <c r="AB28" i="1" s="1"/>
  <c r="Z42" i="1"/>
  <c r="AA42" i="1" s="1"/>
  <c r="AB42" i="1" s="1"/>
  <c r="AA26" i="1" l="1"/>
  <c r="S51" i="5"/>
  <c r="R52" i="5"/>
  <c r="R53" i="5" s="1"/>
  <c r="R54" i="5" s="1"/>
  <c r="R55" i="5" s="1"/>
  <c r="R56" i="5" s="1"/>
  <c r="T51" i="5"/>
  <c r="Z78" i="1"/>
  <c r="AA75" i="1"/>
  <c r="Z72" i="1"/>
  <c r="AA27" i="1"/>
  <c r="Z79" i="1" l="1"/>
  <c r="Z81" i="1" s="1"/>
  <c r="Z93" i="1" s="1"/>
  <c r="AA78" i="1"/>
  <c r="AB75" i="1"/>
  <c r="AB78" i="1" s="1"/>
  <c r="AB26" i="1"/>
  <c r="AA72" i="1"/>
  <c r="AA79" i="1" s="1"/>
  <c r="AB27" i="1"/>
  <c r="AB72" i="1" s="1"/>
  <c r="Z82" i="1" l="1"/>
  <c r="Z91" i="1" s="1"/>
  <c r="AA81" i="1"/>
  <c r="AA93" i="1"/>
  <c r="AB79" i="1"/>
  <c r="Z84" i="1" l="1"/>
  <c r="Z87" i="1" s="1"/>
  <c r="Z88" i="1" s="1"/>
  <c r="Z90" i="1"/>
  <c r="Z83" i="1"/>
  <c r="AA82" i="1"/>
  <c r="AA90" i="1" s="1"/>
  <c r="AB81" i="1"/>
  <c r="AB93" i="1"/>
  <c r="AB82" i="1" l="1"/>
  <c r="AB84" i="1" s="1"/>
  <c r="AB87" i="1" s="1"/>
  <c r="AA91" i="1"/>
  <c r="AA84" i="1"/>
  <c r="AA87" i="1" s="1"/>
  <c r="AA88" i="1" s="1"/>
  <c r="AA83" i="1"/>
  <c r="AB83" i="1" l="1"/>
  <c r="AB91" i="1"/>
  <c r="AB90" i="1"/>
  <c r="AB88" i="1"/>
</calcChain>
</file>

<file path=xl/comments1.xml><?xml version="1.0" encoding="utf-8"?>
<comments xmlns="http://schemas.openxmlformats.org/spreadsheetml/2006/main">
  <authors>
    <author>Bill Rosenberg</author>
    <author>Bill</author>
    <author>WJ Rosenberg</author>
  </authors>
  <commentList>
    <comment ref="C1" authorId="0" shapeId="0">
      <text>
        <r>
          <rPr>
            <b/>
            <sz val="9"/>
            <color indexed="81"/>
            <rFont val="Tahoma"/>
            <family val="2"/>
          </rPr>
          <t>Bill Rosenberg:</t>
        </r>
        <r>
          <rPr>
            <sz val="9"/>
            <color indexed="81"/>
            <rFont val="Tahoma"/>
            <family val="2"/>
          </rPr>
          <t xml:space="preserve">
0 to include non-demographic growth and productivity increase
1 to exclude them</t>
        </r>
      </text>
    </comment>
    <comment ref="D4" authorId="1" shapeId="0">
      <text>
        <r>
          <rPr>
            <b/>
            <sz val="9"/>
            <color indexed="81"/>
            <rFont val="Tahoma"/>
            <family val="2"/>
          </rPr>
          <t>Bill:</t>
        </r>
        <r>
          <rPr>
            <sz val="9"/>
            <color indexed="81"/>
            <rFont val="Tahoma"/>
            <family val="2"/>
          </rPr>
          <t xml:space="preserve">
Based on increase due to estimated costs of settlements with static staffing.
</t>
        </r>
      </text>
    </comment>
    <comment ref="E4" authorId="2" shapeId="0">
      <text>
        <r>
          <rPr>
            <sz val="8"/>
            <color indexed="81"/>
            <rFont val="Tahoma"/>
            <family val="2"/>
          </rPr>
          <t xml:space="preserve">
Estimated from DHB consolidated accounts for year to December 2018.</t>
        </r>
      </text>
    </comment>
    <comment ref="F4" authorId="0" shapeId="0">
      <text>
        <r>
          <rPr>
            <sz val="9"/>
            <color indexed="81"/>
            <rFont val="Tahoma"/>
            <family val="2"/>
          </rPr>
          <t xml:space="preserve">Increase calculated from estimated cost of settlement with static staffing.
</t>
        </r>
        <r>
          <rPr>
            <sz val="9"/>
            <color indexed="81"/>
            <rFont val="Tahoma"/>
            <family val="2"/>
          </rPr>
          <t>Excludes any effect of Equal Pay settlement</t>
        </r>
      </text>
    </comment>
    <comment ref="G4" authorId="2" shapeId="0">
      <text>
        <r>
          <rPr>
            <sz val="8"/>
            <color indexed="81"/>
            <rFont val="Tahoma"/>
            <family val="2"/>
          </rPr>
          <t xml:space="preserve">
Estimated from DHB consolidated accounts for year to December 2018. </t>
        </r>
      </text>
    </comment>
    <comment ref="H4" authorId="0" shapeId="0">
      <text>
        <r>
          <rPr>
            <sz val="9"/>
            <color indexed="81"/>
            <rFont val="Tahoma"/>
            <family val="2"/>
          </rPr>
          <t xml:space="preserve">Increase calculated from estimated cost of settlement with static staffing.
</t>
        </r>
      </text>
    </comment>
    <comment ref="I4" authorId="2" shapeId="0">
      <text>
        <r>
          <rPr>
            <b/>
            <sz val="8"/>
            <color indexed="81"/>
            <rFont val="Tahoma"/>
            <family val="2"/>
          </rPr>
          <t>WJ Rosenberg:</t>
        </r>
        <r>
          <rPr>
            <sz val="8"/>
            <color indexed="81"/>
            <rFont val="Tahoma"/>
            <family val="2"/>
          </rPr>
          <t xml:space="preserve">
From DHB consolidated accounts for year to December 2018. </t>
        </r>
      </text>
    </comment>
    <comment ref="J4" authorId="1" shapeId="0">
      <text>
        <r>
          <rPr>
            <sz val="9"/>
            <color indexed="81"/>
            <rFont val="Tahoma"/>
            <family val="2"/>
          </rPr>
          <t>Estimate average wage increase. No increase for Care and Support and Mental Health Workers this year as part of the Pay Equity settlement.</t>
        </r>
      </text>
    </comment>
    <comment ref="L4" authorId="2" shapeId="0">
      <text>
        <r>
          <rPr>
            <b/>
            <sz val="8"/>
            <color indexed="81"/>
            <rFont val="Tahoma"/>
            <family val="2"/>
          </rPr>
          <t>WJ Rosenberg:</t>
        </r>
        <r>
          <rPr>
            <sz val="8"/>
            <color indexed="81"/>
            <rFont val="Tahoma"/>
            <family val="2"/>
          </rPr>
          <t xml:space="preserve">
Like health sector, assume CPI.</t>
        </r>
      </text>
    </comment>
    <comment ref="N4" authorId="2" shapeId="0">
      <text>
        <r>
          <rPr>
            <b/>
            <sz val="8"/>
            <color indexed="81"/>
            <rFont val="Tahoma"/>
            <family val="2"/>
          </rPr>
          <t>WJ Rosenberg:</t>
        </r>
        <r>
          <rPr>
            <sz val="8"/>
            <color indexed="81"/>
            <rFont val="Tahoma"/>
            <family val="2"/>
          </rPr>
          <t xml:space="preserve">
Assume CPI</t>
        </r>
      </text>
    </comment>
    <comment ref="O4" authorId="2" shapeId="0">
      <text>
        <r>
          <rPr>
            <sz val="8"/>
            <color indexed="81"/>
            <rFont val="Tahoma"/>
            <family val="2"/>
          </rPr>
          <t>Calculated rom data provided by Ministry of Health</t>
        </r>
      </text>
    </comment>
    <comment ref="P4" authorId="2" shapeId="0">
      <text>
        <r>
          <rPr>
            <b/>
            <sz val="8"/>
            <color indexed="81"/>
            <rFont val="Tahoma"/>
            <family val="2"/>
          </rPr>
          <t>WJ Rosenberg:</t>
        </r>
        <r>
          <rPr>
            <sz val="8"/>
            <color indexed="81"/>
            <rFont val="Tahoma"/>
            <family val="2"/>
          </rPr>
          <t xml:space="preserve">
This was originally modelled on Treasury:Health Projections and Policy Options: Background paper for the 2013 statement on the long term fiscal position”, July 2013, p.20
A different approach is used in the 2016 long term fiscal position.
In place of this, non-demographic growth is accounted for by new initiatives announced by the Govt. </t>
        </r>
      </text>
    </comment>
    <comment ref="Q4" authorId="2" shapeId="0">
      <text>
        <r>
          <rPr>
            <b/>
            <sz val="8"/>
            <color indexed="81"/>
            <rFont val="Tahoma"/>
            <family val="2"/>
          </rPr>
          <t>WJ Rosenberg:</t>
        </r>
        <r>
          <rPr>
            <sz val="8"/>
            <color indexed="81"/>
            <rFont val="Tahoma"/>
            <family val="2"/>
          </rPr>
          <t xml:space="preserve">
This was originally modelled on Treasury:Health Projections and Policy Options: Background paper for the 2013 statement on the long term fiscal position”, where it assumed 0.3% long term labour productivity growth in Health.
A different approach is used in the 2016 long term fiscal position.
This is not used here.  </t>
        </r>
      </text>
    </comment>
    <comment ref="S4" authorId="2" shapeId="0">
      <text>
        <r>
          <rPr>
            <b/>
            <sz val="8"/>
            <color indexed="81"/>
            <rFont val="Tahoma"/>
            <family val="2"/>
          </rPr>
          <t>WJ Rosenberg:</t>
        </r>
        <r>
          <rPr>
            <sz val="8"/>
            <color indexed="81"/>
            <rFont val="Tahoma"/>
            <family val="2"/>
          </rPr>
          <t xml:space="preserve">
Capital Goods price index in year to December 2018 rose 2.6%  </t>
        </r>
      </text>
    </comment>
    <comment ref="AI4" authorId="2" shapeId="0">
      <text>
        <r>
          <rPr>
            <sz val="8"/>
            <color indexed="81"/>
            <rFont val="Tahoma"/>
            <family val="2"/>
          </rPr>
          <t xml:space="preserve">
From Consolidated DHB Provider Arm Accounts for the year to January 2019. (It was 62.7%  in the audited accounts to June 2018.) Assume it also applies to funded organisations and Ministry.</t>
        </r>
      </text>
    </comment>
    <comment ref="AJ4" authorId="2" shapeId="0">
      <text>
        <r>
          <rPr>
            <sz val="8"/>
            <color indexed="81"/>
            <rFont val="Tahoma"/>
            <family val="2"/>
          </rPr>
          <t xml:space="preserve">Treasury BEFU 2018 forecasts 2.0% in year to June 2020.
RBNZ forecast for year to June 2020 is 1.9% (May 2019 MPS)
NZIER consensus forecast mean, published March 2019, is 1.9% for the year to March 2020.  
</t>
        </r>
      </text>
    </comment>
    <comment ref="AK4" authorId="2" shapeId="0">
      <text>
        <r>
          <rPr>
            <sz val="8"/>
            <color indexed="81"/>
            <rFont val="Tahoma"/>
            <family val="2"/>
          </rPr>
          <t>Ministry of Health projection for 2019/20</t>
        </r>
      </text>
    </comment>
    <comment ref="AL4" authorId="2" shapeId="0">
      <text>
        <r>
          <rPr>
            <sz val="8"/>
            <color indexed="81"/>
            <rFont val="Tahoma"/>
            <family val="2"/>
          </rPr>
          <t xml:space="preserve">Ministry of Health projections for 0-19 year olds for 2019/20
</t>
        </r>
      </text>
    </comment>
    <comment ref="AO4" authorId="1" shapeId="0">
      <text>
        <r>
          <rPr>
            <sz val="9"/>
            <color indexed="81"/>
            <rFont val="Tahoma"/>
            <family val="2"/>
          </rPr>
          <t xml:space="preserve">
Treasury BEFU 2019 forecasts average ordinary time hourly wage to rise 3.2% in year to June 2020.
RBNZ in May MPS forecast Av  hourly earnings for the private sector, seasonally adjusted, to rise 2.7% in year to June 2020.
Actual in year to March 2019 was 3.4%.
NZIER March 2019 Consensus forecasts are for private sector average hourly earnings to rise 3.3% in year to March 2020</t>
        </r>
      </text>
    </comment>
    <comment ref="AP4" authorId="1" shapeId="0">
      <text>
        <r>
          <rPr>
            <sz val="9"/>
            <color indexed="81"/>
            <rFont val="Tahoma"/>
            <family val="2"/>
          </rPr>
          <t xml:space="preserve">
Approximate from DHB consolidated accounts  to January 2019. (For audited accounts to June 2018 it was 56.5%)</t>
        </r>
      </text>
    </comment>
    <comment ref="Y32" authorId="1" shapeId="0">
      <text>
        <r>
          <rPr>
            <b/>
            <sz val="9"/>
            <color indexed="81"/>
            <rFont val="Tahoma"/>
            <family val="2"/>
          </rPr>
          <t>Bill:</t>
        </r>
        <r>
          <rPr>
            <sz val="9"/>
            <color indexed="81"/>
            <rFont val="Tahoma"/>
            <family val="2"/>
          </rPr>
          <t xml:space="preserve">
Includes a correction of $160 million to reverse some double-counting of pay increases.</t>
        </r>
      </text>
    </comment>
    <comment ref="Y36" authorId="1" shapeId="0">
      <text>
        <r>
          <rPr>
            <b/>
            <sz val="9"/>
            <color indexed="81"/>
            <rFont val="Tahoma"/>
            <family val="2"/>
          </rPr>
          <t>Bill:</t>
        </r>
        <r>
          <rPr>
            <sz val="9"/>
            <color indexed="81"/>
            <rFont val="Tahoma"/>
            <family val="2"/>
          </rPr>
          <t xml:space="preserve">
Assumes this was a limited term project which will not continue.</t>
        </r>
      </text>
    </comment>
    <comment ref="C42" authorId="0" shapeId="0">
      <text>
        <r>
          <rPr>
            <b/>
            <sz val="9"/>
            <color indexed="81"/>
            <rFont val="Tahoma"/>
            <family val="2"/>
          </rPr>
          <t>Bill Rosenberg:</t>
        </r>
        <r>
          <rPr>
            <sz val="9"/>
            <color indexed="81"/>
            <rFont val="Tahoma"/>
            <family val="2"/>
          </rPr>
          <t xml:space="preserve">
The scope of this appropriation has been reduced to provide only for the operational expenses of PHARMAC. Formerly it provided funding for the HRC and for a variety of other purposes. Funds were transferred out of it during the financial year (see p. 410 of the Supplementary Estimates), reducing it to $23.488 million</t>
        </r>
      </text>
    </comment>
    <comment ref="O49" authorId="1" shapeId="0">
      <text>
        <r>
          <rPr>
            <b/>
            <sz val="9"/>
            <color indexed="81"/>
            <rFont val="Tahoma"/>
            <charset val="1"/>
          </rPr>
          <t>Bill:</t>
        </r>
        <r>
          <rPr>
            <sz val="9"/>
            <color indexed="81"/>
            <rFont val="Tahoma"/>
            <charset val="1"/>
          </rPr>
          <t xml:space="preserve">
Population only as aging population does not appear to affect mental health the same way as other ares. </t>
        </r>
      </text>
    </comment>
    <comment ref="Y54" authorId="0" shapeId="0">
      <text>
        <r>
          <rPr>
            <b/>
            <sz val="9"/>
            <color indexed="81"/>
            <rFont val="Tahoma"/>
            <family val="2"/>
          </rPr>
          <t>Bill Rosenberg:</t>
        </r>
        <r>
          <rPr>
            <sz val="9"/>
            <color indexed="81"/>
            <rFont val="Tahoma"/>
            <family val="2"/>
          </rPr>
          <t xml:space="preserve">
Use Budget amount</t>
        </r>
      </text>
    </comment>
    <comment ref="AC67" authorId="0" shapeId="0">
      <text>
        <r>
          <rPr>
            <b/>
            <sz val="9"/>
            <color indexed="81"/>
            <rFont val="Tahoma"/>
            <family val="2"/>
          </rPr>
          <t>Bill Rosenberg:</t>
        </r>
        <r>
          <rPr>
            <sz val="9"/>
            <color indexed="81"/>
            <rFont val="Tahoma"/>
            <family val="2"/>
          </rPr>
          <t xml:space="preserve">
$10 million received in 2018/19 for costs arising from litigation for funded family care.</t>
        </r>
      </text>
    </comment>
    <comment ref="G92" authorId="1" shapeId="0">
      <text>
        <r>
          <rPr>
            <b/>
            <sz val="9"/>
            <color indexed="81"/>
            <rFont val="Tahoma"/>
            <family val="2"/>
          </rPr>
          <t>Bill:</t>
        </r>
        <r>
          <rPr>
            <sz val="9"/>
            <color indexed="81"/>
            <rFont val="Tahoma"/>
            <family val="2"/>
          </rPr>
          <t xml:space="preserve">
Transfer from Health Sector Projects Operating Expenses to Departmental appropriation Sector Planning and Performance</t>
        </r>
      </text>
    </comment>
    <comment ref="E95" authorId="0" shapeId="0">
      <text>
        <r>
          <rPr>
            <b/>
            <sz val="9"/>
            <color indexed="81"/>
            <rFont val="Tahoma"/>
            <family val="2"/>
          </rPr>
          <t>Bill Rosenberg:</t>
        </r>
        <r>
          <rPr>
            <sz val="9"/>
            <color indexed="81"/>
            <rFont val="Tahoma"/>
            <family val="2"/>
          </rPr>
          <t xml:space="preserve">
Provided for in 2018/19 under "Supporting Safe Working Conditions for Nurses" but not for 2019/20. It was to provide for 500 additional nursing positions and work to implement CCDM (the agreed safe staffing tool). It is assumed that the 500 positions are ongoing into the future, and that the CCDM implementation will continue at least for the 2019/20 financial year and so must be funded. </t>
        </r>
      </text>
    </comment>
    <comment ref="B99" authorId="1" shapeId="0">
      <text>
        <r>
          <rPr>
            <b/>
            <sz val="9"/>
            <color indexed="81"/>
            <rFont val="Tahoma"/>
            <family val="2"/>
          </rPr>
          <t>Bill:</t>
        </r>
        <r>
          <rPr>
            <sz val="9"/>
            <color indexed="81"/>
            <rFont val="Tahoma"/>
            <family val="2"/>
          </rPr>
          <t xml:space="preserve">
Transferred to Departmental appropriation Sector Planning and Performance</t>
        </r>
      </text>
    </comment>
  </commentList>
</comments>
</file>

<file path=xl/comments2.xml><?xml version="1.0" encoding="utf-8"?>
<comments xmlns="http://schemas.openxmlformats.org/spreadsheetml/2006/main">
  <authors>
    <author>Bill Rosenberg</author>
  </authors>
  <commentList>
    <comment ref="A50" authorId="0" shapeId="0">
      <text>
        <r>
          <rPr>
            <b/>
            <sz val="9"/>
            <color indexed="81"/>
            <rFont val="Tahoma"/>
            <family val="2"/>
          </rPr>
          <t>Bill Rosenberg:</t>
        </r>
        <r>
          <rPr>
            <sz val="9"/>
            <color indexed="81"/>
            <rFont val="Tahoma"/>
            <family val="2"/>
          </rPr>
          <t xml:space="preserve">
Part funding of this initiative. Remainder from Sport and Recreation ($3.643m in 2019/20) and Educ ($0.707m)</t>
        </r>
      </text>
    </comment>
    <comment ref="A57" authorId="0" shapeId="0">
      <text>
        <r>
          <rPr>
            <b/>
            <sz val="9"/>
            <color indexed="81"/>
            <rFont val="Tahoma"/>
            <family val="2"/>
          </rPr>
          <t>Bill Rosenberg:</t>
        </r>
        <r>
          <rPr>
            <sz val="9"/>
            <color indexed="81"/>
            <rFont val="Tahoma"/>
            <family val="2"/>
          </rPr>
          <t xml:space="preserve">
Does not appear in Summary of Initiatives</t>
        </r>
      </text>
    </comment>
    <comment ref="A59" authorId="0" shapeId="0">
      <text>
        <r>
          <rPr>
            <b/>
            <sz val="9"/>
            <color indexed="81"/>
            <rFont val="Tahoma"/>
            <family val="2"/>
          </rPr>
          <t>Bill Rosenberg:</t>
        </r>
        <r>
          <rPr>
            <sz val="9"/>
            <color indexed="81"/>
            <rFont val="Tahoma"/>
            <family val="2"/>
          </rPr>
          <t xml:space="preserve">
Not in Summary of Initiatives
</t>
        </r>
      </text>
    </comment>
    <comment ref="H59" authorId="0" shapeId="0">
      <text>
        <r>
          <rPr>
            <b/>
            <sz val="9"/>
            <color indexed="81"/>
            <rFont val="Tahoma"/>
            <family val="2"/>
          </rPr>
          <t>Bill Rosenberg:</t>
        </r>
        <r>
          <rPr>
            <sz val="9"/>
            <color indexed="81"/>
            <rFont val="Tahoma"/>
            <family val="2"/>
          </rPr>
          <t xml:space="preserve">
$6,914,000 was funded in 2018/19 for "Problem Gambling Services - Continued Support" from the previous Government.</t>
        </r>
      </text>
    </comment>
    <comment ref="H60" authorId="0" shapeId="0">
      <text>
        <r>
          <rPr>
            <b/>
            <sz val="9"/>
            <color indexed="81"/>
            <rFont val="Tahoma"/>
            <family val="2"/>
          </rPr>
          <t>Bill Rosenberg:</t>
        </r>
        <r>
          <rPr>
            <sz val="9"/>
            <color indexed="81"/>
            <rFont val="Tahoma"/>
            <family val="2"/>
          </rPr>
          <t xml:space="preserve">
$293,000 was funded in 2018/19 for "Problem Gambling Services - Continued Support" from the previous Government.</t>
        </r>
      </text>
    </comment>
    <comment ref="A62" authorId="0" shapeId="0">
      <text>
        <r>
          <rPr>
            <b/>
            <sz val="9"/>
            <color indexed="81"/>
            <rFont val="Tahoma"/>
            <family val="2"/>
          </rPr>
          <t>Bill Rosenberg:</t>
        </r>
        <r>
          <rPr>
            <sz val="9"/>
            <color indexed="81"/>
            <rFont val="Tahoma"/>
            <family val="2"/>
          </rPr>
          <t xml:space="preserve">
Not in Summary of Initiatives
</t>
        </r>
      </text>
    </comment>
    <comment ref="A65" authorId="0" shapeId="0">
      <text>
        <r>
          <rPr>
            <b/>
            <sz val="9"/>
            <color indexed="81"/>
            <rFont val="Tahoma"/>
            <family val="2"/>
          </rPr>
          <t>Bill Rosenberg:</t>
        </r>
        <r>
          <rPr>
            <sz val="9"/>
            <color indexed="81"/>
            <rFont val="Tahoma"/>
            <family val="2"/>
          </rPr>
          <t xml:space="preserve">
Not in Summary of Initiatives</t>
        </r>
      </text>
    </comment>
    <comment ref="A66" authorId="0" shapeId="0">
      <text>
        <r>
          <rPr>
            <b/>
            <sz val="9"/>
            <color indexed="81"/>
            <rFont val="Tahoma"/>
            <family val="2"/>
          </rPr>
          <t>Bill Rosenberg:</t>
        </r>
        <r>
          <rPr>
            <sz val="9"/>
            <color indexed="81"/>
            <rFont val="Tahoma"/>
            <family val="2"/>
          </rPr>
          <t xml:space="preserve">
Not in Summary of Initiatives</t>
        </r>
      </text>
    </comment>
    <comment ref="A67" authorId="0" shapeId="0">
      <text>
        <r>
          <rPr>
            <b/>
            <sz val="9"/>
            <color indexed="81"/>
            <rFont val="Tahoma"/>
            <family val="2"/>
          </rPr>
          <t>Bill Rosenberg:</t>
        </r>
        <r>
          <rPr>
            <sz val="9"/>
            <color indexed="81"/>
            <rFont val="Tahoma"/>
            <family val="2"/>
          </rPr>
          <t xml:space="preserve">
Not in Summary of Initiatives
</t>
        </r>
      </text>
    </comment>
    <comment ref="A252" authorId="0" shapeId="0">
      <text>
        <r>
          <rPr>
            <b/>
            <sz val="9"/>
            <color indexed="81"/>
            <rFont val="Tahoma"/>
            <family val="2"/>
          </rPr>
          <t>Bill Rosenberg:</t>
        </r>
        <r>
          <rPr>
            <sz val="9"/>
            <color indexed="81"/>
            <rFont val="Tahoma"/>
            <family val="2"/>
          </rPr>
          <t xml:space="preserve">
Part funding of this initiative. Remainder from Sport and Recreation ($3.643m in 2019/20) and Educ ($0.707m)</t>
        </r>
      </text>
    </comment>
    <comment ref="A255" authorId="0" shapeId="0">
      <text>
        <r>
          <rPr>
            <b/>
            <sz val="9"/>
            <color indexed="81"/>
            <rFont val="Tahoma"/>
            <family val="2"/>
          </rPr>
          <t>Bill Rosenberg:</t>
        </r>
        <r>
          <rPr>
            <sz val="9"/>
            <color indexed="81"/>
            <rFont val="Tahoma"/>
            <family val="2"/>
          </rPr>
          <t xml:space="preserve">
Does not appear in Summary of Initiatives</t>
        </r>
      </text>
    </comment>
    <comment ref="A257" authorId="0" shapeId="0">
      <text>
        <r>
          <rPr>
            <b/>
            <sz val="9"/>
            <color indexed="81"/>
            <rFont val="Tahoma"/>
            <family val="2"/>
          </rPr>
          <t>Bill Rosenberg:</t>
        </r>
        <r>
          <rPr>
            <sz val="9"/>
            <color indexed="81"/>
            <rFont val="Tahoma"/>
            <family val="2"/>
          </rPr>
          <t xml:space="preserve">
Not in Summary of Initiatives
</t>
        </r>
      </text>
    </comment>
  </commentList>
</comments>
</file>

<file path=xl/comments3.xml><?xml version="1.0" encoding="utf-8"?>
<comments xmlns="http://schemas.openxmlformats.org/spreadsheetml/2006/main">
  <authors>
    <author>Bill Rosenberg</author>
    <author>Lyndon Keene</author>
  </authors>
  <commentList>
    <comment ref="C28" authorId="0" shapeId="0">
      <text>
        <r>
          <rPr>
            <b/>
            <sz val="9"/>
            <color indexed="81"/>
            <rFont val="Tahoma"/>
            <family val="2"/>
          </rPr>
          <t>Bill Rosenberg:</t>
        </r>
        <r>
          <rPr>
            <sz val="9"/>
            <color indexed="81"/>
            <rFont val="Tahoma"/>
            <family val="2"/>
          </rPr>
          <t xml:space="preserve">
Using total nursing + midwifery equivalent full time staff at 30 June 2018 according to TAS</t>
        </r>
      </text>
    </comment>
    <comment ref="I46" authorId="1" shapeId="0">
      <text>
        <r>
          <rPr>
            <b/>
            <sz val="9"/>
            <color indexed="81"/>
            <rFont val="Tahoma"/>
            <family val="2"/>
          </rPr>
          <t>Lyndon Keene:</t>
        </r>
        <r>
          <rPr>
            <sz val="9"/>
            <color indexed="81"/>
            <rFont val="Tahoma"/>
            <family val="2"/>
          </rPr>
          <t xml:space="preserve">
2.5% from Dec 18 plus
lump sum of $2000 per year</t>
        </r>
      </text>
    </comment>
    <comment ref="J46" authorId="1" shapeId="0">
      <text>
        <r>
          <rPr>
            <b/>
            <sz val="9"/>
            <color indexed="81"/>
            <rFont val="Tahoma"/>
            <family val="2"/>
          </rPr>
          <t>Lyndon Keene:</t>
        </r>
        <r>
          <rPr>
            <sz val="9"/>
            <color indexed="81"/>
            <rFont val="Tahoma"/>
            <family val="2"/>
          </rPr>
          <t xml:space="preserve">
2.5% from 1 April 2019 plus one-off $2700 for regs &amp; $2300 for HOs</t>
        </r>
      </text>
    </comment>
    <comment ref="I51" authorId="1" shapeId="0">
      <text>
        <r>
          <rPr>
            <b/>
            <sz val="9"/>
            <color indexed="81"/>
            <rFont val="Tahoma"/>
            <family val="2"/>
          </rPr>
          <t>Lyndon Keene:</t>
        </r>
        <r>
          <rPr>
            <sz val="9"/>
            <color indexed="81"/>
            <rFont val="Tahoma"/>
            <family val="2"/>
          </rPr>
          <t xml:space="preserve">
3% from Dec 2019</t>
        </r>
      </text>
    </comment>
    <comment ref="J51" authorId="1" shapeId="0">
      <text>
        <r>
          <rPr>
            <b/>
            <sz val="9"/>
            <color indexed="81"/>
            <rFont val="Tahoma"/>
            <family val="2"/>
          </rPr>
          <t>Lyndon Keene:</t>
        </r>
        <r>
          <rPr>
            <sz val="9"/>
            <color indexed="81"/>
            <rFont val="Tahoma"/>
            <family val="2"/>
          </rPr>
          <t xml:space="preserve">
3%  from April 2020 </t>
        </r>
      </text>
    </comment>
  </commentList>
</comments>
</file>

<file path=xl/comments4.xml><?xml version="1.0" encoding="utf-8"?>
<comments xmlns="http://schemas.openxmlformats.org/spreadsheetml/2006/main">
  <authors>
    <author>Bill</author>
    <author>Bill Rosenberg</author>
  </authors>
  <commentList>
    <comment ref="Z49" authorId="0" shapeId="0">
      <text>
        <r>
          <rPr>
            <b/>
            <sz val="9"/>
            <color indexed="81"/>
            <rFont val="Tahoma"/>
            <family val="2"/>
          </rPr>
          <t>Bill:</t>
        </r>
        <r>
          <rPr>
            <sz val="9"/>
            <color indexed="81"/>
            <rFont val="Tahoma"/>
            <family val="2"/>
          </rPr>
          <t xml:space="preserve">
Transfer from capital acounts
</t>
        </r>
      </text>
    </comment>
    <comment ref="V55" authorId="0" shapeId="0">
      <text>
        <r>
          <rPr>
            <b/>
            <sz val="9"/>
            <color indexed="81"/>
            <rFont val="Tahoma"/>
            <family val="2"/>
          </rPr>
          <t>Bill:</t>
        </r>
        <r>
          <rPr>
            <sz val="9"/>
            <color indexed="81"/>
            <rFont val="Tahoma"/>
            <family val="2"/>
          </rPr>
          <t xml:space="preserve">
From National Contracted Services - Other:
$71,251 transferred to new National Personal Health Services appropriation
$8,854 transferred to Public Health Service Purchasing
$4,509 transferred to Mental Health Services
$12,976 transferred to Monitoring and Protecting Health and Disablity Interests
See ISE13-v6-pia-health.pdf (2013 Budget Estimates for Health) p.12</t>
        </r>
      </text>
    </comment>
    <comment ref="X56" authorId="0" shapeId="0">
      <text>
        <r>
          <rPr>
            <b/>
            <sz val="9"/>
            <color indexed="81"/>
            <rFont val="Tahoma"/>
            <family val="2"/>
          </rPr>
          <t>Bill:</t>
        </r>
        <r>
          <rPr>
            <sz val="9"/>
            <color indexed="81"/>
            <rFont val="Tahoma"/>
            <family val="2"/>
          </rPr>
          <t xml:space="preserve">
Supplementary Estimates 2016 note (p.345) that the National Advisory and Support Services appropriation is being disestablished from Budget 2016, with these services funded from National Contracted Services - Other ($240,000 in 2015/16) and National Māori Health Services ($20,000 in 2015/16).</t>
        </r>
      </text>
    </comment>
    <comment ref="V58" authorId="0" shapeId="0">
      <text>
        <r>
          <rPr>
            <b/>
            <sz val="9"/>
            <color indexed="81"/>
            <rFont val="Tahoma"/>
            <family val="2"/>
          </rPr>
          <t>Bill:</t>
        </r>
        <r>
          <rPr>
            <sz val="9"/>
            <color indexed="81"/>
            <rFont val="Tahoma"/>
            <family val="2"/>
          </rPr>
          <t xml:space="preserve">
From National Contracted Services - Other:
$71,251 transferred to new National Personal Health Services appropriation
$8,854 transferred to Public Health Service Purchasing
$4,509 transferred to Mental Health Services
$12,976 transferred to Monitoring and Protecting Health and Disablity Interests
See ISE13-v6-pia-health.pdf (2013 Budget Estimates for Health) p.12</t>
        </r>
      </text>
    </comment>
    <comment ref="X58" authorId="0" shapeId="0">
      <text>
        <r>
          <rPr>
            <b/>
            <sz val="9"/>
            <color indexed="81"/>
            <rFont val="Tahoma"/>
            <family val="2"/>
          </rPr>
          <t>Bill:</t>
        </r>
        <r>
          <rPr>
            <sz val="9"/>
            <color indexed="81"/>
            <rFont val="Tahoma"/>
            <family val="2"/>
          </rPr>
          <t xml:space="preserve">
Supplementary Estimates 2016 note (p.345) that the National Advisory and Support Services appropriation is being disestablished from Budget 2016, with these services funded from National Contracted Services - Other ($240,000 in 2015/16) and National Māori Health Services ($20,000 in 2015/16).</t>
        </r>
      </text>
    </comment>
    <comment ref="Z59" authorId="0" shapeId="0">
      <text>
        <r>
          <rPr>
            <b/>
            <sz val="9"/>
            <color indexed="81"/>
            <rFont val="Tahoma"/>
            <family val="2"/>
          </rPr>
          <t>Bill:</t>
        </r>
        <r>
          <rPr>
            <sz val="9"/>
            <color indexed="81"/>
            <rFont val="Tahoma"/>
            <family val="2"/>
          </rPr>
          <t xml:space="preserve">
Stop using High Minimum Wage sector wage after pay equity settlement.</t>
        </r>
      </text>
    </comment>
    <comment ref="X63" authorId="0" shapeId="0">
      <text>
        <r>
          <rPr>
            <b/>
            <sz val="9"/>
            <color indexed="81"/>
            <rFont val="Tahoma"/>
            <family val="2"/>
          </rPr>
          <t>Bill:</t>
        </r>
        <r>
          <rPr>
            <sz val="9"/>
            <color indexed="81"/>
            <rFont val="Tahoma"/>
            <family val="2"/>
          </rPr>
          <t xml:space="preserve">
Supplementary Estimates 2016 note (p.345) that the National Advisory and Support Services appropriation is being disestablished from Budget 2016, with these services funded from National Contracted Services - Other ($240,000 in 2015/16) and National Māori Health Services ($20,000 in 2015/16).</t>
        </r>
      </text>
    </comment>
    <comment ref="V65" authorId="0" shapeId="0">
      <text>
        <r>
          <rPr>
            <b/>
            <sz val="9"/>
            <color indexed="81"/>
            <rFont val="Tahoma"/>
            <family val="2"/>
          </rPr>
          <t>Bill:</t>
        </r>
        <r>
          <rPr>
            <sz val="9"/>
            <color indexed="81"/>
            <rFont val="Tahoma"/>
            <family val="2"/>
          </rPr>
          <t xml:space="preserve">
From National Contracted Services - Other:
$71,251 transferred to new National Personal Health Services appropriation
$8,854 transferred to Public Health Service Purchasing
$4,509 transferred to Mental Health Services
$12,976 transferred to Monitoring and Protecting Health and Disablity Interests
See ISE13-v6-pia-health.pdf (2013 Budget Estimates for Health) p.12</t>
        </r>
      </text>
    </comment>
    <comment ref="V66" authorId="0" shapeId="0">
      <text>
        <r>
          <rPr>
            <b/>
            <sz val="9"/>
            <color indexed="81"/>
            <rFont val="Tahoma"/>
            <family val="2"/>
          </rPr>
          <t>Bill:</t>
        </r>
        <r>
          <rPr>
            <sz val="9"/>
            <color indexed="81"/>
            <rFont val="Tahoma"/>
            <family val="2"/>
          </rPr>
          <t xml:space="preserve">
From National Contracted Services - Other:
$71,251 transferred to new National Personal Health Services appropriation
$8,854 transferred to Public Health Service Purchasing
$4,509 transferred to Mental Health Services
$12,976 transferred to Monitoring and Protecting Health and Disablity Interests
See ISE13-v6-pia-health.pdf (2013 Budget Estimates for Health) p.12</t>
        </r>
      </text>
    </comment>
    <comment ref="V69" authorId="0" shapeId="0">
      <text>
        <r>
          <rPr>
            <b/>
            <sz val="9"/>
            <color indexed="81"/>
            <rFont val="Tahoma"/>
            <family val="2"/>
          </rPr>
          <t>Bill:</t>
        </r>
        <r>
          <rPr>
            <sz val="9"/>
            <color indexed="81"/>
            <rFont val="Tahoma"/>
            <family val="2"/>
          </rPr>
          <t xml:space="preserve">
From National Contracted Services - Other:
$71,251 transferred to new National Personal Health Services appropriation
$8,854 transferred to Public Health Service Purchasing
$4,509 transferred to Mental Health Services
$12,976 transferred to Monitoring and Protecting Health and Disablity Interests
See ISE13-v6-pia-health.pdf (2013 Budget Estimates for Health) p.12</t>
        </r>
      </text>
    </comment>
    <comment ref="Z72" authorId="1" shapeId="0">
      <text>
        <r>
          <rPr>
            <b/>
            <sz val="9"/>
            <color indexed="81"/>
            <rFont val="Tahoma"/>
            <family val="2"/>
          </rPr>
          <t>Bill Rosenberg:</t>
        </r>
        <r>
          <rPr>
            <sz val="9"/>
            <color indexed="81"/>
            <rFont val="Tahoma"/>
            <family val="2"/>
          </rPr>
          <t xml:space="preserve">
Excludes explicit provision for wage rises
</t>
        </r>
      </text>
    </comment>
    <comment ref="AA72" authorId="1" shapeId="0">
      <text>
        <r>
          <rPr>
            <b/>
            <sz val="9"/>
            <color indexed="81"/>
            <rFont val="Tahoma"/>
            <family val="2"/>
          </rPr>
          <t>Bill Rosenberg:</t>
        </r>
        <r>
          <rPr>
            <sz val="9"/>
            <color indexed="81"/>
            <rFont val="Tahoma"/>
            <family val="2"/>
          </rPr>
          <t xml:space="preserve">
Excludes explicit provision for wage rises
</t>
        </r>
      </text>
    </comment>
    <comment ref="AB72" authorId="1" shapeId="0">
      <text>
        <r>
          <rPr>
            <b/>
            <sz val="9"/>
            <color indexed="81"/>
            <rFont val="Tahoma"/>
            <family val="2"/>
          </rPr>
          <t>Bill Rosenberg:</t>
        </r>
        <r>
          <rPr>
            <sz val="9"/>
            <color indexed="81"/>
            <rFont val="Tahoma"/>
            <family val="2"/>
          </rPr>
          <t xml:space="preserve">
Excludes explicit provision for wage rises
</t>
        </r>
      </text>
    </comment>
    <comment ref="K79" authorId="1" shapeId="0">
      <text>
        <r>
          <rPr>
            <b/>
            <sz val="9"/>
            <color indexed="81"/>
            <rFont val="Tahoma"/>
            <family val="2"/>
          </rPr>
          <t>Bill Rosenberg:</t>
        </r>
        <r>
          <rPr>
            <sz val="9"/>
            <color indexed="81"/>
            <rFont val="Tahoma"/>
            <family val="2"/>
          </rPr>
          <t xml:space="preserve">
Note that this excludes $75.974m in a 2016/17 appropriation "Repayment of District Health Board Loans" as it is in fact neutral to DHBs and the Health Vote. The payment was part of the process of swapping DHB debt for equity, once off in 2016/17. The Supplementary Estimates say:
"This is a newly established appropriation in 2016/17 of $275 million for the estimated financial cost to Treasury's Debt Management Office of the early repayment of the DHB's Crown loans (Note: this is a technical financial matter)."</t>
        </r>
      </text>
    </comment>
    <comment ref="AA104" authorId="0" shapeId="0">
      <text>
        <r>
          <rPr>
            <b/>
            <sz val="9"/>
            <color indexed="81"/>
            <rFont val="Tahoma"/>
            <family val="2"/>
          </rPr>
          <t>Bill:</t>
        </r>
        <r>
          <rPr>
            <sz val="9"/>
            <color indexed="81"/>
            <rFont val="Tahoma"/>
            <family val="2"/>
          </rPr>
          <t xml:space="preserve">
Assume 0.5% in June quarter as per RBNZ MPS May 2019</t>
        </r>
      </text>
    </comment>
    <comment ref="AB104" authorId="0" shapeId="0">
      <text>
        <r>
          <rPr>
            <b/>
            <sz val="9"/>
            <color indexed="81"/>
            <rFont val="Tahoma"/>
            <family val="2"/>
          </rPr>
          <t>Bill:</t>
        </r>
        <r>
          <rPr>
            <sz val="9"/>
            <color indexed="81"/>
            <rFont val="Tahoma"/>
            <family val="2"/>
          </rPr>
          <t xml:space="preserve">
Normally would assume same as Treasury forecast for average wage, but large increases in this sector so assume same as 2019.</t>
        </r>
      </text>
    </comment>
    <comment ref="AA105" authorId="0" shapeId="0">
      <text>
        <r>
          <rPr>
            <b/>
            <sz val="9"/>
            <color indexed="81"/>
            <rFont val="Tahoma"/>
            <family val="2"/>
          </rPr>
          <t>Bill:</t>
        </r>
        <r>
          <rPr>
            <sz val="9"/>
            <color indexed="81"/>
            <rFont val="Tahoma"/>
            <family val="2"/>
          </rPr>
          <t xml:space="preserve">
Assume 0.5% in June quarter as per RBNZ MPS May 2019</t>
        </r>
      </text>
    </comment>
    <comment ref="AB105" authorId="0" shapeId="0">
      <text>
        <r>
          <rPr>
            <b/>
            <sz val="9"/>
            <color indexed="81"/>
            <rFont val="Tahoma"/>
            <family val="2"/>
          </rPr>
          <t>Bill:</t>
        </r>
        <r>
          <rPr>
            <sz val="9"/>
            <color indexed="81"/>
            <rFont val="Tahoma"/>
            <family val="2"/>
          </rPr>
          <t xml:space="preserve">
Assume same as Treasury forecast for average wage</t>
        </r>
      </text>
    </comment>
    <comment ref="AA106" authorId="0" shapeId="0">
      <text>
        <r>
          <rPr>
            <b/>
            <sz val="9"/>
            <color indexed="81"/>
            <rFont val="Tahoma"/>
            <family val="2"/>
          </rPr>
          <t>Bill:</t>
        </r>
        <r>
          <rPr>
            <sz val="9"/>
            <color indexed="81"/>
            <rFont val="Tahoma"/>
            <family val="2"/>
          </rPr>
          <t xml:space="preserve">
Assume 0.5% in June quarter as per RBNZ MPS May 2019</t>
        </r>
      </text>
    </comment>
    <comment ref="AB106" authorId="0" shapeId="0">
      <text>
        <r>
          <rPr>
            <b/>
            <sz val="9"/>
            <color indexed="81"/>
            <rFont val="Tahoma"/>
            <family val="2"/>
          </rPr>
          <t>Bill:</t>
        </r>
        <r>
          <rPr>
            <sz val="9"/>
            <color indexed="81"/>
            <rFont val="Tahoma"/>
            <family val="2"/>
          </rPr>
          <t xml:space="preserve">
Treasury forecast</t>
        </r>
      </text>
    </comment>
    <comment ref="AB107" authorId="0" shapeId="0">
      <text>
        <r>
          <rPr>
            <b/>
            <sz val="9"/>
            <color indexed="81"/>
            <rFont val="Tahoma"/>
            <family val="2"/>
          </rPr>
          <t>Bill:</t>
        </r>
        <r>
          <rPr>
            <sz val="9"/>
            <color indexed="81"/>
            <rFont val="Tahoma"/>
            <family val="2"/>
          </rPr>
          <t xml:space="preserve">
Actual</t>
        </r>
      </text>
    </comment>
    <comment ref="AA109" authorId="0" shapeId="0">
      <text>
        <r>
          <rPr>
            <b/>
            <sz val="9"/>
            <color indexed="81"/>
            <rFont val="Tahoma"/>
            <family val="2"/>
          </rPr>
          <t>Bill:</t>
        </r>
        <r>
          <rPr>
            <sz val="9"/>
            <color indexed="81"/>
            <rFont val="Tahoma"/>
            <family val="2"/>
          </rPr>
          <t xml:space="preserve">
Assume percentage changes at same rate as RBNZ MPS forecast</t>
        </r>
      </text>
    </comment>
    <comment ref="AA110" authorId="0" shapeId="0">
      <text>
        <r>
          <rPr>
            <b/>
            <sz val="9"/>
            <color indexed="81"/>
            <rFont val="Tahoma"/>
            <family val="2"/>
          </rPr>
          <t>Bill:</t>
        </r>
        <r>
          <rPr>
            <sz val="9"/>
            <color indexed="81"/>
            <rFont val="Tahoma"/>
            <family val="2"/>
          </rPr>
          <t xml:space="preserve">
Assume percentage changes at same rate as RBNZ MPS forecast</t>
        </r>
      </text>
    </comment>
    <comment ref="AA111" authorId="0" shapeId="0">
      <text>
        <r>
          <rPr>
            <b/>
            <sz val="9"/>
            <color indexed="81"/>
            <rFont val="Tahoma"/>
            <family val="2"/>
          </rPr>
          <t>Bill:</t>
        </r>
        <r>
          <rPr>
            <sz val="9"/>
            <color indexed="81"/>
            <rFont val="Tahoma"/>
            <family val="2"/>
          </rPr>
          <t xml:space="preserve">
Assume percentage changes at same rate as RBNZ MPS forecast</t>
        </r>
      </text>
    </comment>
    <comment ref="AA112" authorId="0" shapeId="0">
      <text>
        <r>
          <rPr>
            <b/>
            <sz val="9"/>
            <color indexed="81"/>
            <rFont val="Tahoma"/>
            <family val="2"/>
          </rPr>
          <t>Bill:</t>
        </r>
        <r>
          <rPr>
            <sz val="9"/>
            <color indexed="81"/>
            <rFont val="Tahoma"/>
            <family val="2"/>
          </rPr>
          <t xml:space="preserve">
 RBNZ May 2018 MPS forecast</t>
        </r>
      </text>
    </comment>
    <comment ref="AA113" authorId="0" shapeId="0">
      <text>
        <r>
          <rPr>
            <b/>
            <sz val="9"/>
            <color indexed="81"/>
            <rFont val="Tahoma"/>
            <family val="2"/>
          </rPr>
          <t>Bill:</t>
        </r>
        <r>
          <rPr>
            <sz val="9"/>
            <color indexed="81"/>
            <rFont val="Tahoma"/>
            <family val="2"/>
          </rPr>
          <t xml:space="preserve">
Increase Jan 2018 to Jan 2019</t>
        </r>
      </text>
    </comment>
    <comment ref="AA117" authorId="0" shapeId="0">
      <text>
        <r>
          <rPr>
            <b/>
            <sz val="9"/>
            <color indexed="81"/>
            <rFont val="Tahoma"/>
            <family val="2"/>
          </rPr>
          <t>Bill:</t>
        </r>
        <r>
          <rPr>
            <sz val="9"/>
            <color indexed="81"/>
            <rFont val="Tahoma"/>
            <family val="2"/>
          </rPr>
          <t xml:space="preserve">
Calculated from HYEFU 2018</t>
        </r>
      </text>
    </comment>
    <comment ref="AA118" authorId="0" shapeId="0">
      <text>
        <r>
          <rPr>
            <b/>
            <sz val="9"/>
            <color indexed="81"/>
            <rFont val="Tahoma"/>
            <family val="2"/>
          </rPr>
          <t>Bill:</t>
        </r>
        <r>
          <rPr>
            <sz val="9"/>
            <color indexed="81"/>
            <rFont val="Tahoma"/>
            <family val="2"/>
          </rPr>
          <t xml:space="preserve">
Assume same as CPI forecast increase</t>
        </r>
      </text>
    </comment>
    <comment ref="AA119" authorId="0" shapeId="0">
      <text>
        <r>
          <rPr>
            <b/>
            <sz val="9"/>
            <color indexed="81"/>
            <rFont val="Tahoma"/>
            <family val="2"/>
          </rPr>
          <t>Bill:</t>
        </r>
        <r>
          <rPr>
            <sz val="9"/>
            <color indexed="81"/>
            <rFont val="Tahoma"/>
            <family val="2"/>
          </rPr>
          <t xml:space="preserve">
Assume same as CPI forecast increase</t>
        </r>
      </text>
    </comment>
    <comment ref="AA120" authorId="0" shapeId="0">
      <text>
        <r>
          <rPr>
            <b/>
            <sz val="9"/>
            <color indexed="81"/>
            <rFont val="Tahoma"/>
            <family val="2"/>
          </rPr>
          <t>Bill:</t>
        </r>
        <r>
          <rPr>
            <sz val="9"/>
            <color indexed="81"/>
            <rFont val="Tahoma"/>
            <family val="2"/>
          </rPr>
          <t xml:space="preserve">
Assume same as CPI forecast increase</t>
        </r>
      </text>
    </comment>
    <comment ref="AA121" authorId="0" shapeId="0">
      <text>
        <r>
          <rPr>
            <b/>
            <sz val="9"/>
            <color indexed="81"/>
            <rFont val="Tahoma"/>
            <family val="2"/>
          </rPr>
          <t>Bill:</t>
        </r>
        <r>
          <rPr>
            <sz val="9"/>
            <color indexed="81"/>
            <rFont val="Tahoma"/>
            <family val="2"/>
          </rPr>
          <t xml:space="preserve">
Assume same as CPI forecast increase</t>
        </r>
      </text>
    </comment>
    <comment ref="AA122" authorId="0" shapeId="0">
      <text>
        <r>
          <rPr>
            <b/>
            <sz val="9"/>
            <color indexed="81"/>
            <rFont val="Tahoma"/>
            <family val="2"/>
          </rPr>
          <t>Bill:</t>
        </r>
        <r>
          <rPr>
            <sz val="9"/>
            <color indexed="81"/>
            <rFont val="Tahoma"/>
            <family val="2"/>
          </rPr>
          <t xml:space="preserve">
Assume same as CPI forecast increase</t>
        </r>
      </text>
    </comment>
    <comment ref="Q126" authorId="0" shapeId="0">
      <text>
        <r>
          <rPr>
            <b/>
            <sz val="9"/>
            <color indexed="81"/>
            <rFont val="Tahoma"/>
            <family val="2"/>
          </rPr>
          <t>Bill:</t>
        </r>
        <r>
          <rPr>
            <sz val="9"/>
            <color indexed="81"/>
            <rFont val="Tahoma"/>
            <family val="2"/>
          </rPr>
          <t xml:space="preserve">
From MOH
</t>
        </r>
      </text>
    </comment>
    <comment ref="Q127" authorId="0" shapeId="0">
      <text>
        <r>
          <rPr>
            <b/>
            <sz val="9"/>
            <color indexed="81"/>
            <rFont val="Tahoma"/>
            <family val="2"/>
          </rPr>
          <t>Bill:</t>
        </r>
        <r>
          <rPr>
            <sz val="9"/>
            <color indexed="81"/>
            <rFont val="Tahoma"/>
            <family val="2"/>
          </rPr>
          <t xml:space="preserve">
InfoShare series VSB034AA - total Live Births and stillbirths for June years</t>
        </r>
      </text>
    </comment>
    <comment ref="Q128" authorId="0" shapeId="0">
      <text>
        <r>
          <rPr>
            <b/>
            <sz val="9"/>
            <color indexed="81"/>
            <rFont val="Tahoma"/>
            <family val="2"/>
          </rPr>
          <t>Bill:</t>
        </r>
        <r>
          <rPr>
            <sz val="9"/>
            <color indexed="81"/>
            <rFont val="Tahoma"/>
            <family val="2"/>
          </rPr>
          <t xml:space="preserve">
Infoshare series DPE056AA - ages 0-18, mean years ended June. 2016 is for year ended March.</t>
        </r>
      </text>
    </comment>
    <comment ref="Q129" authorId="0" shapeId="0">
      <text>
        <r>
          <rPr>
            <b/>
            <sz val="9"/>
            <color indexed="81"/>
            <rFont val="Tahoma"/>
            <family val="2"/>
          </rPr>
          <t>Bill:</t>
        </r>
        <r>
          <rPr>
            <sz val="9"/>
            <color indexed="81"/>
            <rFont val="Tahoma"/>
            <family val="2"/>
          </rPr>
          <t xml:space="preserve">
From MOH.</t>
        </r>
      </text>
    </comment>
    <comment ref="AA132" authorId="1" shapeId="0">
      <text>
        <r>
          <rPr>
            <b/>
            <sz val="9"/>
            <color indexed="81"/>
            <rFont val="Tahoma"/>
            <family val="2"/>
          </rPr>
          <t>Bill Rosenberg:</t>
        </r>
        <r>
          <rPr>
            <sz val="9"/>
            <color indexed="81"/>
            <rFont val="Tahoma"/>
            <family val="2"/>
          </rPr>
          <t xml:space="preserve">
Includes lump sums in pay settlements</t>
        </r>
      </text>
    </comment>
    <comment ref="Q133" authorId="1" shapeId="0">
      <text>
        <r>
          <rPr>
            <b/>
            <sz val="9"/>
            <color indexed="81"/>
            <rFont val="Tahoma"/>
            <family val="2"/>
          </rPr>
          <t>Bill Rosenberg:</t>
        </r>
        <r>
          <rPr>
            <sz val="9"/>
            <color indexed="81"/>
            <rFont val="Tahoma"/>
            <family val="2"/>
          </rPr>
          <t xml:space="preserve">
Other than in explicit appropriations such as "Supporting Equitable Pay"</t>
        </r>
      </text>
    </comment>
  </commentList>
</comments>
</file>

<file path=xl/comments5.xml><?xml version="1.0" encoding="utf-8"?>
<comments xmlns="http://schemas.openxmlformats.org/spreadsheetml/2006/main">
  <authors>
    <author>Bill Rosenberg</author>
    <author>Bill</author>
  </authors>
  <commentList>
    <comment ref="A3" authorId="0" shapeId="0">
      <text>
        <r>
          <rPr>
            <b/>
            <sz val="9"/>
            <color indexed="81"/>
            <rFont val="Tahoma"/>
            <family val="2"/>
          </rPr>
          <t>Bill Rosenberg:</t>
        </r>
        <r>
          <rPr>
            <sz val="9"/>
            <color indexed="81"/>
            <rFont val="Tahoma"/>
            <family val="2"/>
          </rPr>
          <t xml:space="preserve">
From BEFU/HYEFU Core Crown Expense Tables, Table 6.3 – Health expenses</t>
        </r>
      </text>
    </comment>
    <comment ref="A4" authorId="0" shapeId="0">
      <text>
        <r>
          <rPr>
            <b/>
            <sz val="9"/>
            <color indexed="81"/>
            <rFont val="Tahoma"/>
            <family val="2"/>
          </rPr>
          <t>Bill Rosenberg:</t>
        </r>
        <r>
          <rPr>
            <sz val="9"/>
            <color indexed="81"/>
            <rFont val="Tahoma"/>
            <family val="2"/>
          </rPr>
          <t xml:space="preserve">
From BEFU Time Series of Fiscal and Economic Indicators various years. However from FY 2015 there was a change in accounting standards which affects expenses (note 33 to the 2015 Financial Report of the govt). From 2006 the values are from HYEFU2015 and 2016 which reflects these changes.</t>
        </r>
      </text>
    </comment>
    <comment ref="A5" authorId="0" shapeId="0">
      <text>
        <r>
          <rPr>
            <b/>
            <sz val="9"/>
            <color indexed="81"/>
            <rFont val="Tahoma"/>
            <family val="2"/>
          </rPr>
          <t>Bill Rosenberg:</t>
        </r>
        <r>
          <rPr>
            <sz val="9"/>
            <color indexed="81"/>
            <rFont val="Tahoma"/>
            <family val="2"/>
          </rPr>
          <t xml:space="preserve">
Statistics NZ Infoshare series SNE147AA.
Treasury forecasts (e.g. BEFU Table:Time Series of Fiscal and Economic Indicators).</t>
        </r>
      </text>
    </comment>
    <comment ref="A12" authorId="0" shapeId="0">
      <text>
        <r>
          <rPr>
            <b/>
            <sz val="9"/>
            <color indexed="81"/>
            <rFont val="Tahoma"/>
            <family val="2"/>
          </rPr>
          <t>Bill Rosenberg:</t>
        </r>
        <r>
          <rPr>
            <sz val="9"/>
            <color indexed="81"/>
            <rFont val="Tahoma"/>
            <family val="2"/>
          </rPr>
          <t xml:space="preserve">
From Budget Estimates for Health (v6), 1. 2 - Trends in the Vote: Summary of Financial Activity, and similar in previous Budgets</t>
        </r>
      </text>
    </comment>
    <comment ref="A72" authorId="1" shapeId="0">
      <text>
        <r>
          <rPr>
            <b/>
            <sz val="9"/>
            <color indexed="81"/>
            <rFont val="Tahoma"/>
            <family val="2"/>
          </rPr>
          <t>Bill:</t>
        </r>
        <r>
          <rPr>
            <sz val="9"/>
            <color indexed="81"/>
            <rFont val="Tahoma"/>
            <family val="2"/>
          </rPr>
          <t xml:space="preserve">
From BEFU/HYEFU Core Crown Expense Tables, Table 6.4 – Health services purchasing</t>
        </r>
      </text>
    </comment>
    <comment ref="A78" authorId="1" shapeId="0">
      <text>
        <r>
          <rPr>
            <b/>
            <sz val="9"/>
            <color indexed="81"/>
            <rFont val="Tahoma"/>
            <family val="2"/>
          </rPr>
          <t>Bill:</t>
        </r>
        <r>
          <rPr>
            <sz val="9"/>
            <color indexed="81"/>
            <rFont val="Tahoma"/>
            <family val="2"/>
          </rPr>
          <t xml:space="preserve">
From Budget Estimates for Health (v6), 1. 2 - Trends in the Vote: Summary of Financial Activity, and similar in previous Budgets</t>
        </r>
      </text>
    </comment>
    <comment ref="R78" authorId="1" shapeId="0">
      <text>
        <r>
          <rPr>
            <b/>
            <sz val="9"/>
            <color indexed="81"/>
            <rFont val="Tahoma"/>
            <family val="2"/>
          </rPr>
          <t>Bill:</t>
        </r>
        <r>
          <rPr>
            <sz val="9"/>
            <color indexed="81"/>
            <rFont val="Tahoma"/>
            <family val="2"/>
          </rPr>
          <t xml:space="preserve">
$2.415b was conversion of DHB debt to equity and so fiscally neutral to the Crown, and giving Vote Health no addtitional resources. There were other transactions in this fiscal year, both capital and operational, as a result of the Cabinet decision to swap debt for equity.</t>
        </r>
      </text>
    </comment>
  </commentList>
</comments>
</file>

<file path=xl/comments6.xml><?xml version="1.0" encoding="utf-8"?>
<comments xmlns="http://schemas.openxmlformats.org/spreadsheetml/2006/main">
  <authors>
    <author>Bill Rosenberg</author>
    <author>Bill</author>
  </authors>
  <commentList>
    <comment ref="M3" authorId="0" shapeId="0">
      <text>
        <r>
          <rPr>
            <b/>
            <sz val="9"/>
            <color indexed="81"/>
            <rFont val="Tahoma"/>
            <family val="2"/>
          </rPr>
          <t>Bill Rosenberg:</t>
        </r>
        <r>
          <rPr>
            <sz val="9"/>
            <color indexed="81"/>
            <rFont val="Tahoma"/>
            <family val="2"/>
          </rPr>
          <t xml:space="preserve">
Uses Budget for year because incomplete year
</t>
        </r>
      </text>
    </comment>
    <comment ref="M11" authorId="0" shapeId="0">
      <text>
        <r>
          <rPr>
            <b/>
            <sz val="9"/>
            <color indexed="81"/>
            <rFont val="Tahoma"/>
            <family val="2"/>
          </rPr>
          <t>Bill Rosenberg:</t>
        </r>
        <r>
          <rPr>
            <sz val="9"/>
            <color indexed="81"/>
            <rFont val="Tahoma"/>
            <family val="2"/>
          </rPr>
          <t xml:space="preserve">
Year to March 2019</t>
        </r>
      </text>
    </comment>
    <comment ref="M37" authorId="0" shapeId="0">
      <text>
        <r>
          <rPr>
            <b/>
            <sz val="9"/>
            <color indexed="81"/>
            <rFont val="Tahoma"/>
            <family val="2"/>
          </rPr>
          <t>Bill Rosenberg:</t>
        </r>
        <r>
          <rPr>
            <sz val="9"/>
            <color indexed="81"/>
            <rFont val="Tahoma"/>
            <family val="2"/>
          </rPr>
          <t xml:space="preserve">
Year to March 2019
</t>
        </r>
      </text>
    </comment>
    <comment ref="B50" authorId="1" shapeId="0">
      <text>
        <r>
          <rPr>
            <b/>
            <sz val="9"/>
            <color indexed="81"/>
            <rFont val="Tahoma"/>
            <family val="2"/>
          </rPr>
          <t>Bill:</t>
        </r>
        <r>
          <rPr>
            <sz val="9"/>
            <color indexed="81"/>
            <rFont val="Tahoma"/>
            <family val="2"/>
          </rPr>
          <t xml:space="preserve">
Calculated from Otago and Southland DHBs</t>
        </r>
      </text>
    </comment>
    <comment ref="C50" authorId="1" shapeId="0">
      <text>
        <r>
          <rPr>
            <b/>
            <sz val="9"/>
            <color indexed="81"/>
            <rFont val="Tahoma"/>
            <family val="2"/>
          </rPr>
          <t>Bill:</t>
        </r>
        <r>
          <rPr>
            <sz val="9"/>
            <color indexed="81"/>
            <rFont val="Tahoma"/>
            <family val="2"/>
          </rPr>
          <t xml:space="preserve">
Calculated from Otago and Southland DHBs</t>
        </r>
      </text>
    </comment>
    <comment ref="M62" authorId="0" shapeId="0">
      <text>
        <r>
          <rPr>
            <b/>
            <sz val="9"/>
            <color indexed="81"/>
            <rFont val="Tahoma"/>
            <family val="2"/>
          </rPr>
          <t>Bill Rosenberg:</t>
        </r>
        <r>
          <rPr>
            <sz val="9"/>
            <color indexed="81"/>
            <rFont val="Tahoma"/>
            <family val="2"/>
          </rPr>
          <t xml:space="preserve">
Year to March 2019
</t>
        </r>
      </text>
    </comment>
    <comment ref="B75" authorId="1" shapeId="0">
      <text>
        <r>
          <rPr>
            <b/>
            <sz val="9"/>
            <color indexed="81"/>
            <rFont val="Tahoma"/>
            <family val="2"/>
          </rPr>
          <t>Bill:</t>
        </r>
        <r>
          <rPr>
            <sz val="9"/>
            <color indexed="81"/>
            <rFont val="Tahoma"/>
            <family val="2"/>
          </rPr>
          <t xml:space="preserve">
Calculated from Otago and Southland DHBs</t>
        </r>
      </text>
    </comment>
    <comment ref="C75" authorId="1" shapeId="0">
      <text>
        <r>
          <rPr>
            <b/>
            <sz val="9"/>
            <color indexed="81"/>
            <rFont val="Tahoma"/>
            <family val="2"/>
          </rPr>
          <t>Bill:</t>
        </r>
        <r>
          <rPr>
            <sz val="9"/>
            <color indexed="81"/>
            <rFont val="Tahoma"/>
            <family val="2"/>
          </rPr>
          <t xml:space="preserve">
Calculated from Otago and Southland DHBs</t>
        </r>
      </text>
    </comment>
    <comment ref="M87" authorId="0" shapeId="0">
      <text>
        <r>
          <rPr>
            <b/>
            <sz val="9"/>
            <color indexed="81"/>
            <rFont val="Tahoma"/>
            <family val="2"/>
          </rPr>
          <t>Bill Rosenberg:</t>
        </r>
        <r>
          <rPr>
            <sz val="9"/>
            <color indexed="81"/>
            <rFont val="Tahoma"/>
            <family val="2"/>
          </rPr>
          <t xml:space="preserve">
Year to March 2019
</t>
        </r>
      </text>
    </comment>
    <comment ref="B100" authorId="1" shapeId="0">
      <text>
        <r>
          <rPr>
            <b/>
            <sz val="9"/>
            <color indexed="81"/>
            <rFont val="Tahoma"/>
            <family val="2"/>
          </rPr>
          <t>Bill:</t>
        </r>
        <r>
          <rPr>
            <sz val="9"/>
            <color indexed="81"/>
            <rFont val="Tahoma"/>
            <family val="2"/>
          </rPr>
          <t xml:space="preserve">
Calculated from Otago and Southland DHBs</t>
        </r>
      </text>
    </comment>
    <comment ref="C100" authorId="1" shapeId="0">
      <text>
        <r>
          <rPr>
            <b/>
            <sz val="9"/>
            <color indexed="81"/>
            <rFont val="Tahoma"/>
            <family val="2"/>
          </rPr>
          <t>Bill:</t>
        </r>
        <r>
          <rPr>
            <sz val="9"/>
            <color indexed="81"/>
            <rFont val="Tahoma"/>
            <family val="2"/>
          </rPr>
          <t xml:space="preserve">
Calculated from Otago and Southland DHBs</t>
        </r>
      </text>
    </comment>
    <comment ref="M112" authorId="0" shapeId="0">
      <text>
        <r>
          <rPr>
            <b/>
            <sz val="9"/>
            <color indexed="81"/>
            <rFont val="Tahoma"/>
            <family val="2"/>
          </rPr>
          <t>Bill Rosenberg:</t>
        </r>
        <r>
          <rPr>
            <sz val="9"/>
            <color indexed="81"/>
            <rFont val="Tahoma"/>
            <family val="2"/>
          </rPr>
          <t xml:space="preserve">
Year to March 2019</t>
        </r>
      </text>
    </comment>
    <comment ref="B125" authorId="1" shapeId="0">
      <text>
        <r>
          <rPr>
            <b/>
            <sz val="9"/>
            <color indexed="81"/>
            <rFont val="Tahoma"/>
            <family val="2"/>
          </rPr>
          <t>Bill:</t>
        </r>
        <r>
          <rPr>
            <sz val="9"/>
            <color indexed="81"/>
            <rFont val="Tahoma"/>
            <family val="2"/>
          </rPr>
          <t xml:space="preserve">
Calculated from Otago and Southland DHBs</t>
        </r>
      </text>
    </comment>
    <comment ref="C125" authorId="1" shapeId="0">
      <text>
        <r>
          <rPr>
            <b/>
            <sz val="9"/>
            <color indexed="81"/>
            <rFont val="Tahoma"/>
            <family val="2"/>
          </rPr>
          <t>Bill:</t>
        </r>
        <r>
          <rPr>
            <sz val="9"/>
            <color indexed="81"/>
            <rFont val="Tahoma"/>
            <family val="2"/>
          </rPr>
          <t xml:space="preserve">
Calculated from Otago and Southland DHBs</t>
        </r>
      </text>
    </comment>
    <comment ref="M137" authorId="0" shapeId="0">
      <text>
        <r>
          <rPr>
            <b/>
            <sz val="9"/>
            <color indexed="81"/>
            <rFont val="Tahoma"/>
            <family val="2"/>
          </rPr>
          <t>Bill Rosenberg:</t>
        </r>
        <r>
          <rPr>
            <sz val="9"/>
            <color indexed="81"/>
            <rFont val="Tahoma"/>
            <family val="2"/>
          </rPr>
          <t xml:space="preserve">
For year to March 2019</t>
        </r>
      </text>
    </comment>
    <comment ref="B150" authorId="1" shapeId="0">
      <text>
        <r>
          <rPr>
            <b/>
            <sz val="9"/>
            <color indexed="81"/>
            <rFont val="Tahoma"/>
            <family val="2"/>
          </rPr>
          <t>Bill:</t>
        </r>
        <r>
          <rPr>
            <sz val="9"/>
            <color indexed="81"/>
            <rFont val="Tahoma"/>
            <family val="2"/>
          </rPr>
          <t xml:space="preserve">
Calculated from Otago and Southland DHBs</t>
        </r>
      </text>
    </comment>
    <comment ref="C150" authorId="1" shapeId="0">
      <text>
        <r>
          <rPr>
            <b/>
            <sz val="9"/>
            <color indexed="81"/>
            <rFont val="Tahoma"/>
            <family val="2"/>
          </rPr>
          <t>Bill:</t>
        </r>
        <r>
          <rPr>
            <sz val="9"/>
            <color indexed="81"/>
            <rFont val="Tahoma"/>
            <family val="2"/>
          </rPr>
          <t xml:space="preserve">
Calculated from Otago and Southland DHBs</t>
        </r>
      </text>
    </comment>
    <comment ref="M162" authorId="1" shapeId="0">
      <text>
        <r>
          <rPr>
            <b/>
            <sz val="9"/>
            <color indexed="81"/>
            <rFont val="Tahoma"/>
            <family val="2"/>
          </rPr>
          <t>Bill:</t>
        </r>
        <r>
          <rPr>
            <sz val="9"/>
            <color indexed="81"/>
            <rFont val="Tahoma"/>
            <family val="2"/>
          </rPr>
          <t xml:space="preserve">
March 2019</t>
        </r>
      </text>
    </comment>
    <comment ref="AA162" authorId="1" shapeId="0">
      <text>
        <r>
          <rPr>
            <b/>
            <sz val="9"/>
            <color indexed="81"/>
            <rFont val="Tahoma"/>
            <family val="2"/>
          </rPr>
          <t>Bill:</t>
        </r>
        <r>
          <rPr>
            <sz val="9"/>
            <color indexed="81"/>
            <rFont val="Tahoma"/>
            <family val="2"/>
          </rPr>
          <t xml:space="preserve">
Increase since same month a year before (March 2018)</t>
        </r>
      </text>
    </comment>
    <comment ref="B175" authorId="1" shapeId="0">
      <text>
        <r>
          <rPr>
            <b/>
            <sz val="9"/>
            <color indexed="81"/>
            <rFont val="Tahoma"/>
            <family val="2"/>
          </rPr>
          <t>Bill:</t>
        </r>
        <r>
          <rPr>
            <sz val="9"/>
            <color indexed="81"/>
            <rFont val="Tahoma"/>
            <family val="2"/>
          </rPr>
          <t xml:space="preserve">
Calculated from Otago and Southland DHBs</t>
        </r>
      </text>
    </comment>
    <comment ref="C175" authorId="1" shapeId="0">
      <text>
        <r>
          <rPr>
            <b/>
            <sz val="9"/>
            <color indexed="81"/>
            <rFont val="Tahoma"/>
            <family val="2"/>
          </rPr>
          <t>Bill:</t>
        </r>
        <r>
          <rPr>
            <sz val="9"/>
            <color indexed="81"/>
            <rFont val="Tahoma"/>
            <family val="2"/>
          </rPr>
          <t xml:space="preserve">
Calculated from Otago and Southland DHBs</t>
        </r>
      </text>
    </comment>
    <comment ref="Q175" authorId="1" shapeId="0">
      <text>
        <r>
          <rPr>
            <b/>
            <sz val="9"/>
            <color indexed="81"/>
            <rFont val="Tahoma"/>
            <family val="2"/>
          </rPr>
          <t>Bill:</t>
        </r>
        <r>
          <rPr>
            <sz val="9"/>
            <color indexed="81"/>
            <rFont val="Tahoma"/>
            <family val="2"/>
          </rPr>
          <t xml:space="preserve">
Calculated from Otago and Southland DHBs</t>
        </r>
      </text>
    </comment>
    <comment ref="R175" authorId="1" shapeId="0">
      <text>
        <r>
          <rPr>
            <b/>
            <sz val="9"/>
            <color indexed="81"/>
            <rFont val="Tahoma"/>
            <family val="2"/>
          </rPr>
          <t>Bill:</t>
        </r>
        <r>
          <rPr>
            <sz val="9"/>
            <color indexed="81"/>
            <rFont val="Tahoma"/>
            <family val="2"/>
          </rPr>
          <t xml:space="preserve">
Calculated from Otago and Southland DHBs</t>
        </r>
      </text>
    </comment>
    <comment ref="M187" authorId="1" shapeId="0">
      <text>
        <r>
          <rPr>
            <b/>
            <sz val="9"/>
            <color indexed="81"/>
            <rFont val="Tahoma"/>
            <family val="2"/>
          </rPr>
          <t>Bill:</t>
        </r>
        <r>
          <rPr>
            <sz val="9"/>
            <color indexed="81"/>
            <rFont val="Tahoma"/>
            <family val="2"/>
          </rPr>
          <t xml:space="preserve">
March 2019</t>
        </r>
      </text>
    </comment>
    <comment ref="AA187" authorId="1" shapeId="0">
      <text>
        <r>
          <rPr>
            <b/>
            <sz val="9"/>
            <color indexed="81"/>
            <rFont val="Tahoma"/>
            <family val="2"/>
          </rPr>
          <t>Bill:</t>
        </r>
        <r>
          <rPr>
            <sz val="9"/>
            <color indexed="81"/>
            <rFont val="Tahoma"/>
            <family val="2"/>
          </rPr>
          <t xml:space="preserve">
Increase since same month a year before (Mar 2018)</t>
        </r>
      </text>
    </comment>
    <comment ref="B200" authorId="1" shapeId="0">
      <text>
        <r>
          <rPr>
            <b/>
            <sz val="9"/>
            <color indexed="81"/>
            <rFont val="Tahoma"/>
            <family val="2"/>
          </rPr>
          <t>Bill:</t>
        </r>
        <r>
          <rPr>
            <sz val="9"/>
            <color indexed="81"/>
            <rFont val="Tahoma"/>
            <family val="2"/>
          </rPr>
          <t xml:space="preserve">
Calculated from Otago and Southland DHBs</t>
        </r>
      </text>
    </comment>
    <comment ref="C200" authorId="1" shapeId="0">
      <text>
        <r>
          <rPr>
            <b/>
            <sz val="9"/>
            <color indexed="81"/>
            <rFont val="Tahoma"/>
            <family val="2"/>
          </rPr>
          <t>Bill:</t>
        </r>
        <r>
          <rPr>
            <sz val="9"/>
            <color indexed="81"/>
            <rFont val="Tahoma"/>
            <family val="2"/>
          </rPr>
          <t xml:space="preserve">
Calculated from Otago and Southland DHBs</t>
        </r>
      </text>
    </comment>
    <comment ref="Q200" authorId="1" shapeId="0">
      <text>
        <r>
          <rPr>
            <b/>
            <sz val="9"/>
            <color indexed="81"/>
            <rFont val="Tahoma"/>
            <family val="2"/>
          </rPr>
          <t>Bill:</t>
        </r>
        <r>
          <rPr>
            <sz val="9"/>
            <color indexed="81"/>
            <rFont val="Tahoma"/>
            <family val="2"/>
          </rPr>
          <t xml:space="preserve">
Calculated from Otago and Southland DHBs</t>
        </r>
      </text>
    </comment>
    <comment ref="R200" authorId="1" shapeId="0">
      <text>
        <r>
          <rPr>
            <b/>
            <sz val="9"/>
            <color indexed="81"/>
            <rFont val="Tahoma"/>
            <family val="2"/>
          </rPr>
          <t>Bill:</t>
        </r>
        <r>
          <rPr>
            <sz val="9"/>
            <color indexed="81"/>
            <rFont val="Tahoma"/>
            <family val="2"/>
          </rPr>
          <t xml:space="preserve">
Calculated from Otago and Southland DHBs</t>
        </r>
      </text>
    </comment>
    <comment ref="M212" authorId="1" shapeId="0">
      <text>
        <r>
          <rPr>
            <b/>
            <sz val="9"/>
            <color indexed="81"/>
            <rFont val="Tahoma"/>
            <family val="2"/>
          </rPr>
          <t>Bill:</t>
        </r>
        <r>
          <rPr>
            <sz val="9"/>
            <color indexed="81"/>
            <rFont val="Tahoma"/>
            <family val="2"/>
          </rPr>
          <t xml:space="preserve">
March 2019</t>
        </r>
      </text>
    </comment>
    <comment ref="AA212" authorId="1" shapeId="0">
      <text>
        <r>
          <rPr>
            <b/>
            <sz val="9"/>
            <color indexed="81"/>
            <rFont val="Tahoma"/>
            <family val="2"/>
          </rPr>
          <t>Bill:</t>
        </r>
        <r>
          <rPr>
            <sz val="9"/>
            <color indexed="81"/>
            <rFont val="Tahoma"/>
            <family val="2"/>
          </rPr>
          <t xml:space="preserve">
Increase since same month a year before (Mar 2018)</t>
        </r>
      </text>
    </comment>
    <comment ref="B225" authorId="1" shapeId="0">
      <text>
        <r>
          <rPr>
            <b/>
            <sz val="9"/>
            <color indexed="81"/>
            <rFont val="Tahoma"/>
            <family val="2"/>
          </rPr>
          <t>Bill:</t>
        </r>
        <r>
          <rPr>
            <sz val="9"/>
            <color indexed="81"/>
            <rFont val="Tahoma"/>
            <family val="2"/>
          </rPr>
          <t xml:space="preserve">
Calculated from Otago and Southland DHBs</t>
        </r>
      </text>
    </comment>
    <comment ref="C225" authorId="1" shapeId="0">
      <text>
        <r>
          <rPr>
            <b/>
            <sz val="9"/>
            <color indexed="81"/>
            <rFont val="Tahoma"/>
            <family val="2"/>
          </rPr>
          <t>Bill:</t>
        </r>
        <r>
          <rPr>
            <sz val="9"/>
            <color indexed="81"/>
            <rFont val="Tahoma"/>
            <family val="2"/>
          </rPr>
          <t xml:space="preserve">
Calculated from Otago and Southland DHBs</t>
        </r>
      </text>
    </comment>
    <comment ref="Q225" authorId="1" shapeId="0">
      <text>
        <r>
          <rPr>
            <b/>
            <sz val="9"/>
            <color indexed="81"/>
            <rFont val="Tahoma"/>
            <family val="2"/>
          </rPr>
          <t>Bill:</t>
        </r>
        <r>
          <rPr>
            <sz val="9"/>
            <color indexed="81"/>
            <rFont val="Tahoma"/>
            <family val="2"/>
          </rPr>
          <t xml:space="preserve">
Calculated from Otago and Southland DHBs</t>
        </r>
      </text>
    </comment>
    <comment ref="R225" authorId="1" shapeId="0">
      <text>
        <r>
          <rPr>
            <b/>
            <sz val="9"/>
            <color indexed="81"/>
            <rFont val="Tahoma"/>
            <family val="2"/>
          </rPr>
          <t>Bill:</t>
        </r>
        <r>
          <rPr>
            <sz val="9"/>
            <color indexed="81"/>
            <rFont val="Tahoma"/>
            <family val="2"/>
          </rPr>
          <t xml:space="preserve">
Calculated from Otago and Southland DHBs</t>
        </r>
      </text>
    </comment>
    <comment ref="M237" authorId="1" shapeId="0">
      <text>
        <r>
          <rPr>
            <b/>
            <sz val="9"/>
            <color indexed="81"/>
            <rFont val="Tahoma"/>
            <family val="2"/>
          </rPr>
          <t>Bill:</t>
        </r>
        <r>
          <rPr>
            <sz val="9"/>
            <color indexed="81"/>
            <rFont val="Tahoma"/>
            <family val="2"/>
          </rPr>
          <t xml:space="preserve">
March 2019</t>
        </r>
      </text>
    </comment>
    <comment ref="AA237" authorId="1" shapeId="0">
      <text>
        <r>
          <rPr>
            <b/>
            <sz val="9"/>
            <color indexed="81"/>
            <rFont val="Tahoma"/>
            <family val="2"/>
          </rPr>
          <t>Bill:</t>
        </r>
        <r>
          <rPr>
            <sz val="9"/>
            <color indexed="81"/>
            <rFont val="Tahoma"/>
            <family val="2"/>
          </rPr>
          <t xml:space="preserve">
Increase since same month a year before (Mar 2018)</t>
        </r>
      </text>
    </comment>
    <comment ref="B250" authorId="1" shapeId="0">
      <text>
        <r>
          <rPr>
            <b/>
            <sz val="9"/>
            <color indexed="81"/>
            <rFont val="Tahoma"/>
            <family val="2"/>
          </rPr>
          <t>Bill:</t>
        </r>
        <r>
          <rPr>
            <sz val="9"/>
            <color indexed="81"/>
            <rFont val="Tahoma"/>
            <family val="2"/>
          </rPr>
          <t xml:space="preserve">
Calculated from Otago and Southland DHBs</t>
        </r>
      </text>
    </comment>
    <comment ref="C250" authorId="1" shapeId="0">
      <text>
        <r>
          <rPr>
            <b/>
            <sz val="9"/>
            <color indexed="81"/>
            <rFont val="Tahoma"/>
            <family val="2"/>
          </rPr>
          <t>Bill:</t>
        </r>
        <r>
          <rPr>
            <sz val="9"/>
            <color indexed="81"/>
            <rFont val="Tahoma"/>
            <family val="2"/>
          </rPr>
          <t xml:space="preserve">
Calculated from Otago and Southland DHBs</t>
        </r>
      </text>
    </comment>
    <comment ref="Q250" authorId="1" shapeId="0">
      <text>
        <r>
          <rPr>
            <b/>
            <sz val="9"/>
            <color indexed="81"/>
            <rFont val="Tahoma"/>
            <family val="2"/>
          </rPr>
          <t>Bill:</t>
        </r>
        <r>
          <rPr>
            <sz val="9"/>
            <color indexed="81"/>
            <rFont val="Tahoma"/>
            <family val="2"/>
          </rPr>
          <t xml:space="preserve">
Calculated from Otago and Southland DHBs</t>
        </r>
      </text>
    </comment>
    <comment ref="R250" authorId="1" shapeId="0">
      <text>
        <r>
          <rPr>
            <b/>
            <sz val="9"/>
            <color indexed="81"/>
            <rFont val="Tahoma"/>
            <family val="2"/>
          </rPr>
          <t>Bill:</t>
        </r>
        <r>
          <rPr>
            <sz val="9"/>
            <color indexed="81"/>
            <rFont val="Tahoma"/>
            <family val="2"/>
          </rPr>
          <t xml:space="preserve">
Calculated from Otago and Southland DHBs</t>
        </r>
      </text>
    </comment>
    <comment ref="M268" authorId="0" shapeId="0">
      <text>
        <r>
          <rPr>
            <b/>
            <sz val="9"/>
            <color indexed="81"/>
            <rFont val="Tahoma"/>
            <family val="2"/>
          </rPr>
          <t>Bill Rosenberg:</t>
        </r>
        <r>
          <rPr>
            <sz val="9"/>
            <color indexed="81"/>
            <rFont val="Tahoma"/>
            <family val="2"/>
          </rPr>
          <t xml:space="preserve">
To March 2019
</t>
        </r>
      </text>
    </comment>
  </commentList>
</comments>
</file>

<file path=xl/comments7.xml><?xml version="1.0" encoding="utf-8"?>
<comments xmlns="http://schemas.openxmlformats.org/spreadsheetml/2006/main">
  <authors>
    <author>Bill</author>
  </authors>
  <commentList>
    <comment ref="V6" authorId="0" shapeId="0">
      <text>
        <r>
          <rPr>
            <b/>
            <sz val="9"/>
            <color indexed="81"/>
            <rFont val="Tahoma"/>
            <family val="2"/>
          </rPr>
          <t>Bill:</t>
        </r>
        <r>
          <rPr>
            <sz val="9"/>
            <color indexed="81"/>
            <rFont val="Tahoma"/>
            <family val="2"/>
          </rPr>
          <t xml:space="preserve">
Using most recent estimates available</t>
        </r>
      </text>
    </comment>
    <comment ref="BA6" authorId="0" shapeId="0">
      <text>
        <r>
          <rPr>
            <b/>
            <sz val="9"/>
            <color indexed="81"/>
            <rFont val="Tahoma"/>
            <family val="2"/>
          </rPr>
          <t>Bill:</t>
        </r>
        <r>
          <rPr>
            <sz val="9"/>
            <color indexed="81"/>
            <rFont val="Tahoma"/>
            <family val="2"/>
          </rPr>
          <t xml:space="preserve">
Projected increase for 2017 over actual live and still births for 2016</t>
        </r>
      </text>
    </comment>
  </commentList>
</comments>
</file>

<file path=xl/comments8.xml><?xml version="1.0" encoding="utf-8"?>
<comments xmlns="http://schemas.openxmlformats.org/spreadsheetml/2006/main">
  <authors>
    <author>Bill</author>
    <author>ABS</author>
  </authors>
  <commentList>
    <comment ref="B1" authorId="0" shapeId="0">
      <text>
        <r>
          <rPr>
            <b/>
            <sz val="9"/>
            <color indexed="81"/>
            <rFont val="Tahoma"/>
            <family val="2"/>
          </rPr>
          <t>Bill:</t>
        </r>
        <r>
          <rPr>
            <sz val="9"/>
            <color indexed="81"/>
            <rFont val="Tahoma"/>
            <family val="2"/>
          </rPr>
          <t xml:space="preserve">
Same for levels 1 and 2</t>
        </r>
      </text>
    </comment>
    <comment ref="DV1" authorId="1" shapeId="0">
      <text>
        <r>
          <rPr>
            <sz val="8"/>
            <color indexed="81"/>
            <rFont val="Tahoma"/>
            <family val="2"/>
          </rPr>
          <t>Reference base of each index: 2008-2009 = 100.0</t>
        </r>
      </text>
    </comment>
    <comment ref="DW1" authorId="1" shapeId="0">
      <text>
        <r>
          <rPr>
            <sz val="8"/>
            <color indexed="81"/>
            <rFont val="Tahoma"/>
            <family val="2"/>
          </rPr>
          <t>Reference base of each index: 2008-2009 = 100.0</t>
        </r>
      </text>
    </comment>
    <comment ref="DX1" authorId="1" shapeId="0">
      <text>
        <r>
          <rPr>
            <sz val="9"/>
            <color indexed="81"/>
            <rFont val="Tahoma"/>
            <family val="2"/>
          </rPr>
          <t>Reference base of each index: 2008-2009 = 100.0</t>
        </r>
      </text>
    </comment>
    <comment ref="DZ1" authorId="1" shapeId="0">
      <text>
        <r>
          <rPr>
            <sz val="11"/>
            <color indexed="81"/>
            <rFont val="Tahoma"/>
            <family val="2"/>
          </rPr>
          <t>Unless otherwise specified, reference period of each index: 2011–12 = 100.0.</t>
        </r>
      </text>
    </comment>
    <comment ref="DC2" authorId="0" shapeId="0">
      <text>
        <r>
          <rPr>
            <b/>
            <sz val="9"/>
            <color indexed="81"/>
            <rFont val="Tahoma"/>
            <family val="2"/>
          </rPr>
          <t>Bill:</t>
        </r>
        <r>
          <rPr>
            <sz val="9"/>
            <color indexed="81"/>
            <rFont val="Tahoma"/>
            <family val="2"/>
          </rPr>
          <t xml:space="preserve">
Health and Community Services (ANZSIC) until Mar-09; Health Care and Social Services (ANZSIC06) from Jun-09</t>
        </r>
      </text>
    </comment>
    <comment ref="DE2" authorId="0" shapeId="0">
      <text>
        <r>
          <rPr>
            <b/>
            <sz val="9"/>
            <color indexed="81"/>
            <rFont val="Tahoma"/>
            <family val="2"/>
          </rPr>
          <t>Bill:</t>
        </r>
        <r>
          <rPr>
            <sz val="9"/>
            <color indexed="81"/>
            <rFont val="Tahoma"/>
            <family val="2"/>
          </rPr>
          <t xml:space="preserve">
Health and Community Services (ANZSIC) until Mar-09; Health Care and Social Services (ANZSIC06) from Jun-09</t>
        </r>
      </text>
    </comment>
    <comment ref="O52" authorId="0" shapeId="0">
      <text>
        <r>
          <rPr>
            <b/>
            <sz val="9"/>
            <color indexed="81"/>
            <rFont val="Tahoma"/>
            <family val="2"/>
          </rPr>
          <t>Bill:</t>
        </r>
        <r>
          <rPr>
            <sz val="9"/>
            <color indexed="81"/>
            <rFont val="Tahoma"/>
            <family val="2"/>
          </rPr>
          <t xml:space="preserve">
Treasury forecasts from HYEFU (note that both their 2018Q4 and 2019Q1 forecasts were too high). These are calculated from their quarterly increases.</t>
        </r>
      </text>
    </comment>
    <comment ref="W52" authorId="0" shapeId="0">
      <text>
        <r>
          <rPr>
            <b/>
            <sz val="9"/>
            <color indexed="81"/>
            <rFont val="Tahoma"/>
            <family val="2"/>
          </rPr>
          <t>Bill:</t>
        </r>
        <r>
          <rPr>
            <sz val="9"/>
            <color indexed="81"/>
            <rFont val="Tahoma"/>
            <family val="2"/>
          </rPr>
          <t xml:space="preserve">
Assume same quarterly increase as for CPI</t>
        </r>
      </text>
    </comment>
    <comment ref="AR52" authorId="0" shapeId="0">
      <text>
        <r>
          <rPr>
            <b/>
            <sz val="9"/>
            <color indexed="81"/>
            <rFont val="Tahoma"/>
            <family val="2"/>
          </rPr>
          <t>Bill:</t>
        </r>
        <r>
          <rPr>
            <sz val="9"/>
            <color indexed="81"/>
            <rFont val="Tahoma"/>
            <family val="2"/>
          </rPr>
          <t xml:space="preserve">
RBNZ May MPS forecast for quarter. Treasury forecast for year gives zero quarterly increase wnich is unlikely given the minimum wage will increase 7% in this quarter adding approximately 0.5% by itself.</t>
        </r>
      </text>
    </comment>
    <comment ref="BJ52" authorId="0" shapeId="0">
      <text>
        <r>
          <rPr>
            <b/>
            <sz val="9"/>
            <color indexed="81"/>
            <rFont val="Tahoma"/>
            <family val="2"/>
          </rPr>
          <t>Bill:</t>
        </r>
        <r>
          <rPr>
            <sz val="9"/>
            <color indexed="81"/>
            <rFont val="Tahoma"/>
            <family val="2"/>
          </rPr>
          <t xml:space="preserve">
RBNZ MPS May 2019 forecast for private sector</t>
        </r>
      </text>
    </comment>
    <comment ref="BW52" authorId="0" shapeId="0">
      <text>
        <r>
          <rPr>
            <b/>
            <sz val="9"/>
            <color indexed="81"/>
            <rFont val="Tahoma"/>
            <family val="2"/>
          </rPr>
          <t>Bill:</t>
        </r>
        <r>
          <rPr>
            <sz val="9"/>
            <color indexed="81"/>
            <rFont val="Tahoma"/>
            <family val="2"/>
          </rPr>
          <t xml:space="preserve">
RBNZ MPS May 2019 forecast for private sector</t>
        </r>
      </text>
    </comment>
    <comment ref="CJ52" authorId="0" shapeId="0">
      <text>
        <r>
          <rPr>
            <b/>
            <sz val="9"/>
            <color indexed="81"/>
            <rFont val="Tahoma"/>
            <family val="2"/>
          </rPr>
          <t>Bill:</t>
        </r>
        <r>
          <rPr>
            <sz val="9"/>
            <color indexed="81"/>
            <rFont val="Tahoma"/>
            <family val="2"/>
          </rPr>
          <t xml:space="preserve">
RBNZ MPS May 2019 forecast for private sector</t>
        </r>
      </text>
    </comment>
    <comment ref="CM52" authorId="0" shapeId="0">
      <text>
        <r>
          <rPr>
            <b/>
            <sz val="9"/>
            <color indexed="81"/>
            <rFont val="Tahoma"/>
            <family val="2"/>
          </rPr>
          <t>Bill:</t>
        </r>
        <r>
          <rPr>
            <sz val="9"/>
            <color indexed="81"/>
            <rFont val="Tahoma"/>
            <family val="2"/>
          </rPr>
          <t xml:space="preserve">
RBNZ MPS May 2019 forecast for private sector</t>
        </r>
      </text>
    </comment>
    <comment ref="CN52" authorId="0" shapeId="0">
      <text>
        <r>
          <rPr>
            <b/>
            <sz val="9"/>
            <color indexed="81"/>
            <rFont val="Tahoma"/>
            <family val="2"/>
          </rPr>
          <t>Bill:</t>
        </r>
        <r>
          <rPr>
            <sz val="9"/>
            <color indexed="81"/>
            <rFont val="Tahoma"/>
            <family val="2"/>
          </rPr>
          <t xml:space="preserve">
RBNZ MPS May 2019 forecast for private sector</t>
        </r>
      </text>
    </comment>
    <comment ref="CO52" authorId="0" shapeId="0">
      <text>
        <r>
          <rPr>
            <b/>
            <sz val="9"/>
            <color indexed="81"/>
            <rFont val="Tahoma"/>
            <family val="2"/>
          </rPr>
          <t>Bill:</t>
        </r>
        <r>
          <rPr>
            <sz val="9"/>
            <color indexed="81"/>
            <rFont val="Tahoma"/>
            <family val="2"/>
          </rPr>
          <t xml:space="preserve">
RBNZ MPS May 2019 forecast for private sector</t>
        </r>
      </text>
    </comment>
    <comment ref="P56" authorId="0" shapeId="0">
      <text>
        <r>
          <rPr>
            <b/>
            <sz val="9"/>
            <color indexed="81"/>
            <rFont val="Tahoma"/>
            <family val="2"/>
          </rPr>
          <t>Bill:</t>
        </r>
        <r>
          <rPr>
            <sz val="9"/>
            <color indexed="81"/>
            <rFont val="Tahoma"/>
            <family val="2"/>
          </rPr>
          <t xml:space="preserve">
Use Treasury's increase for the year to June 2020, rather than calculated increase.</t>
        </r>
      </text>
    </comment>
    <comment ref="AQ56" authorId="0" shapeId="0">
      <text>
        <r>
          <rPr>
            <b/>
            <sz val="9"/>
            <color indexed="81"/>
            <rFont val="Tahoma"/>
            <family val="2"/>
          </rPr>
          <t>Bill:</t>
        </r>
        <r>
          <rPr>
            <sz val="9"/>
            <color indexed="81"/>
            <rFont val="Tahoma"/>
            <family val="2"/>
          </rPr>
          <t xml:space="preserve">
Treasury HYEFU forecast</t>
        </r>
      </text>
    </comment>
    <comment ref="BL56" authorId="0" shapeId="0">
      <text>
        <r>
          <rPr>
            <b/>
            <sz val="9"/>
            <color indexed="81"/>
            <rFont val="Tahoma"/>
            <family val="2"/>
          </rPr>
          <t>Bill:</t>
        </r>
        <r>
          <rPr>
            <sz val="9"/>
            <color indexed="81"/>
            <rFont val="Tahoma"/>
            <family val="2"/>
          </rPr>
          <t xml:space="preserve">
2020 and 2021 increases are as set as "indicative" in the Cabinet Paper for the 2018 Minimum Wage Review (pp.1, 5).</t>
        </r>
      </text>
    </comment>
    <comment ref="CX110" authorId="0" shapeId="0">
      <text>
        <r>
          <rPr>
            <b/>
            <sz val="9"/>
            <color indexed="81"/>
            <rFont val="Tahoma"/>
            <family val="2"/>
          </rPr>
          <t>Bill:</t>
        </r>
        <r>
          <rPr>
            <sz val="9"/>
            <color indexed="81"/>
            <rFont val="Tahoma"/>
            <family val="2"/>
          </rPr>
          <t xml:space="preserve">
RBNZ MPS May 2019 forecast for private sector</t>
        </r>
      </text>
    </comment>
  </commentList>
</comments>
</file>

<file path=xl/sharedStrings.xml><?xml version="1.0" encoding="utf-8"?>
<sst xmlns="http://schemas.openxmlformats.org/spreadsheetml/2006/main" count="4255" uniqueCount="1203">
  <si>
    <t>Estimated needs ($000)</t>
  </si>
  <si>
    <t xml:space="preserve">This estimates funding needs and compares to actual funding from the year ended June 2010. It uses a simplified version of the annual year-to-year estimate. Because of opaque transfers of responsibilities between appropriations from year to year and initiatives are added to grand totals, estimates for the individual appropriations are not necessarily meaningful. It is totals that count, and they do not necessarily coincide exactly with annual year-on-year calculations. </t>
  </si>
  <si>
    <t>Vote</t>
  </si>
  <si>
    <t>Health</t>
  </si>
  <si>
    <t>Actuals</t>
  </si>
  <si>
    <t>Sum of Amount $000</t>
  </si>
  <si>
    <t>Estimated</t>
  </si>
  <si>
    <t>Forecast</t>
  </si>
  <si>
    <t>Appropriation or Category Type</t>
  </si>
  <si>
    <t>Appropriation Name</t>
  </si>
  <si>
    <t>Departmental Output Expenses</t>
  </si>
  <si>
    <t>Administration of Funding and Purchasing of Health and Disability Support Services</t>
  </si>
  <si>
    <t>Administration of Legislation and Regulations</t>
  </si>
  <si>
    <t>Funding and Performance of Crown Entities</t>
  </si>
  <si>
    <t>Health and Disability System Leadership and Planning</t>
  </si>
  <si>
    <t>Health and Disability System Performance Monitoring and Service Delivery</t>
  </si>
  <si>
    <t>Health Sector Information Systems</t>
  </si>
  <si>
    <t>Information and Payment Services</t>
  </si>
  <si>
    <t>Information Services</t>
  </si>
  <si>
    <t>Managing the Purchase of Services</t>
  </si>
  <si>
    <t>Payment Services</t>
  </si>
  <si>
    <t>Policy Advice</t>
  </si>
  <si>
    <t/>
  </si>
  <si>
    <t>Policy Advice and Ministerial Servicing</t>
  </si>
  <si>
    <t>Regulatory and Enforcement Services</t>
  </si>
  <si>
    <t>Responding to National and International Health Emergencies</t>
  </si>
  <si>
    <t>Sector Planning and Performance</t>
  </si>
  <si>
    <t>Servicing of Ministers and Ministerial Committees</t>
  </si>
  <si>
    <t>Strategy, Policy and System Performance</t>
  </si>
  <si>
    <t>Supporting Ministerial Committees</t>
  </si>
  <si>
    <t>Departmental Output Expenses Total</t>
  </si>
  <si>
    <t>Non-Departmental Output Expenses</t>
  </si>
  <si>
    <t>Health and Disability Support Services - Auckland DHB</t>
  </si>
  <si>
    <t>Health and Disability Support Services - Bay of Plenty DHB</t>
  </si>
  <si>
    <t>Health and Disability Support Services - Canterbury DHB</t>
  </si>
  <si>
    <t>Health and Disability Support Services - Capital and Coast DHB</t>
  </si>
  <si>
    <t>Health and Disability Support Services - Counties-Manukau DHB</t>
  </si>
  <si>
    <t>Health and Disability Support Services - Hawkes Bay DHB</t>
  </si>
  <si>
    <t>Health and Disability Support Services - Hutt DHB</t>
  </si>
  <si>
    <t>Health and Disability Support Services - Lakes DHB</t>
  </si>
  <si>
    <t>Health and Disability Support Services - MidCentral DHB</t>
  </si>
  <si>
    <t>Health and Disability Support Services - Nelson-Marlborough DHB</t>
  </si>
  <si>
    <t>Health and Disability Support Services - Northland DHB</t>
  </si>
  <si>
    <t>Health and Disability Support Services - Otago DHB</t>
  </si>
  <si>
    <t>Health and Disability Support Services - South Canterbury DHB</t>
  </si>
  <si>
    <t>Health and Disability Support Services - Southern DHB</t>
  </si>
  <si>
    <t>Health and Disability Support Services - Southland DHB</t>
  </si>
  <si>
    <t>Health and Disability Support Services - Tairawhiti DHB</t>
  </si>
  <si>
    <t>Health and Disability Support Services - Taranaki DHB</t>
  </si>
  <si>
    <t>Health and Disability Support Services - Waikato DHB</t>
  </si>
  <si>
    <t>Health and Disability Support Services - Wairarapa DHB</t>
  </si>
  <si>
    <t>Health and Disability Support Services - Waitemata DHB</t>
  </si>
  <si>
    <t>Health and Disability Support Services - West Coast DHB</t>
  </si>
  <si>
    <t>Health and Disability Support Services - Whanganui DHB</t>
  </si>
  <si>
    <t>Auckland Health Projects Integrated Investment Plan</t>
  </si>
  <si>
    <t>Crown Health Financing Agency</t>
  </si>
  <si>
    <t>Health Sector Projects Operating Expenses</t>
  </si>
  <si>
    <t>Health Services Funding</t>
  </si>
  <si>
    <t>Health Workforce Training and Development</t>
  </si>
  <si>
    <t>Meningococcal Vaccine Programme</t>
  </si>
  <si>
    <t>Monitoring and Protecting Health and Disability Consumer Interests</t>
  </si>
  <si>
    <t>National Advisory and Support Services</t>
  </si>
  <si>
    <t>National Child Health Services</t>
  </si>
  <si>
    <t>National Contracted Services - Other</t>
  </si>
  <si>
    <t>National Disability Support Services</t>
  </si>
  <si>
    <t>National Planned Care Services (until 2019, National Elective Services)</t>
  </si>
  <si>
    <t>National Emergency Services</t>
  </si>
  <si>
    <t>National Health Information Systems</t>
  </si>
  <si>
    <t>National Maori Health Services</t>
  </si>
  <si>
    <t>National Maternity Services</t>
  </si>
  <si>
    <t>National Mental Health Services</t>
  </si>
  <si>
    <t>National Personal Health Services</t>
  </si>
  <si>
    <t>Primary Health Care Strategy</t>
  </si>
  <si>
    <t>Problem Gambling Services</t>
  </si>
  <si>
    <t>Public Health Service Purchasing</t>
  </si>
  <si>
    <t>Supporting Equitable Pay (until 2019, … for Care and Support Workers)</t>
  </si>
  <si>
    <t>Supporting Safe Working Conditions for Nurses</t>
  </si>
  <si>
    <t>Non-Departmental Output Expenses Total</t>
  </si>
  <si>
    <t>Departmental Other Expenses</t>
  </si>
  <si>
    <t>Earthquake/Storm Damages</t>
  </si>
  <si>
    <t>Departmental Other Expenses Total</t>
  </si>
  <si>
    <t>Non-Departmental Other Expenses</t>
  </si>
  <si>
    <t>International Health Organisations</t>
  </si>
  <si>
    <t>Legal Expenses</t>
  </si>
  <si>
    <t>Provider Development</t>
  </si>
  <si>
    <t>Non-Departmental Other Expenses Total</t>
  </si>
  <si>
    <t>Grand Total</t>
  </si>
  <si>
    <t>Total appropriations needed for demographic, wage and price increases</t>
  </si>
  <si>
    <t>Less new appropriations accounted for in Net initiatives</t>
  </si>
  <si>
    <t>Total DHBs</t>
  </si>
  <si>
    <t>Required for demographic, wage and price increases</t>
  </si>
  <si>
    <t>Add net initiatives and additional costs to give funding needed</t>
  </si>
  <si>
    <t>Increase in funding needed over previous year</t>
  </si>
  <si>
    <t>Funding needed less what has actually been provided in previous year</t>
  </si>
  <si>
    <t>Actuals (forecast for most recent two years)</t>
  </si>
  <si>
    <t xml:space="preserve">Actual increase provided </t>
  </si>
  <si>
    <t>Shortfall from funding needed for year</t>
  </si>
  <si>
    <t>Accumulated shortfall from funding needed</t>
  </si>
  <si>
    <t>Implied "efficiency" gain if no service or quality deterioration</t>
  </si>
  <si>
    <t>Annual</t>
  </si>
  <si>
    <t>Since 2010</t>
  </si>
  <si>
    <t>Shortfall from actual for year, disregarding previous shortfalls</t>
  </si>
  <si>
    <t>Options</t>
  </si>
  <si>
    <t xml:space="preserve">Select </t>
  </si>
  <si>
    <t>Wages series for DHB provider wage costs</t>
  </si>
  <si>
    <t>DHB Provider actual</t>
  </si>
  <si>
    <t>Wage series for other wage costs</t>
  </si>
  <si>
    <t>Health (Average wage)</t>
  </si>
  <si>
    <t>Price index for DHB provider non-wage costs</t>
  </si>
  <si>
    <t>CPI</t>
  </si>
  <si>
    <t>Price index for other non-wage costs</t>
  </si>
  <si>
    <t>Minimum wage proportion of high MW sectors (to 2017)</t>
  </si>
  <si>
    <t>Parameters</t>
  </si>
  <si>
    <t>Wage increases (QES average total hourly wage)</t>
  </si>
  <si>
    <t>Health Care and Social Assistance</t>
  </si>
  <si>
    <t>Public Administration and Safety</t>
  </si>
  <si>
    <t>All QES industries</t>
  </si>
  <si>
    <t>Minimum wage</t>
  </si>
  <si>
    <t>Wage increases (LCI)</t>
  </si>
  <si>
    <t xml:space="preserve">Health Care and Social Assistance - Central Govt Sector </t>
  </si>
  <si>
    <t>Health Care and Social Assistance - all</t>
  </si>
  <si>
    <t xml:space="preserve">Central Govt Sector </t>
  </si>
  <si>
    <t>Summary</t>
  </si>
  <si>
    <t>All</t>
  </si>
  <si>
    <t>DHB provider - per FTE cost</t>
  </si>
  <si>
    <t>Labour proportion of expenditure</t>
  </si>
  <si>
    <t>Actual</t>
  </si>
  <si>
    <t>Budget/Est</t>
  </si>
  <si>
    <t>Provider proportion of DHB expenditure</t>
  </si>
  <si>
    <t>Actual in 2010</t>
  </si>
  <si>
    <t>Non-labour cost increases</t>
  </si>
  <si>
    <t>Total funded</t>
  </si>
  <si>
    <t>CPI Health Group</t>
  </si>
  <si>
    <t>Including population increases</t>
  </si>
  <si>
    <t>Health Care and Social Assistance PPI inputs</t>
  </si>
  <si>
    <t>Including aging and other social changes</t>
  </si>
  <si>
    <t>Hospitals PPI inputs</t>
  </si>
  <si>
    <t>Including wage rises</t>
  </si>
  <si>
    <t>Medical and Other Health Care Services PPI inputs</t>
  </si>
  <si>
    <t>Including price rises</t>
  </si>
  <si>
    <t>Residential Care Services and Social Assistance PPI inputs</t>
  </si>
  <si>
    <t>Including new initiatives (less savings)</t>
  </si>
  <si>
    <t>Population increases</t>
  </si>
  <si>
    <t>Enter 1 to zero series</t>
  </si>
  <si>
    <t>Total population</t>
  </si>
  <si>
    <t>Baseline: 2010 actual</t>
  </si>
  <si>
    <t>Ageing effect</t>
  </si>
  <si>
    <t>Cost-weighted demographics</t>
  </si>
  <si>
    <t>Aging population</t>
  </si>
  <si>
    <t>Births</t>
  </si>
  <si>
    <t>Wage rises</t>
  </si>
  <si>
    <t>Child population (0 - 19 yrs old)</t>
  </si>
  <si>
    <t>Price rises</t>
  </si>
  <si>
    <t>Maori cost-weighted population</t>
  </si>
  <si>
    <t>New initiatives (less savings)</t>
  </si>
  <si>
    <t xml:space="preserve">Mental health clients </t>
  </si>
  <si>
    <t>Total</t>
  </si>
  <si>
    <t>Financial</t>
  </si>
  <si>
    <t>Net initiatives and additional costs ($000)</t>
  </si>
  <si>
    <t>Explicit provision for wage rises ($000)</t>
  </si>
  <si>
    <t>Increase actually funded</t>
  </si>
  <si>
    <t>Shortfall from 2010</t>
  </si>
  <si>
    <t>Calculated series based on options selected</t>
  </si>
  <si>
    <t>DHB Provider wage</t>
  </si>
  <si>
    <t>DHB funder arm wage</t>
  </si>
  <si>
    <t>Funded sector wage other than DHB provider</t>
  </si>
  <si>
    <t>Wage in high Minimum Wage sectors</t>
  </si>
  <si>
    <t>Price index for Residential Care Services and Social Assistance</t>
  </si>
  <si>
    <t>Drop-down list values</t>
  </si>
  <si>
    <t>Public (Average wage)</t>
  </si>
  <si>
    <t>Total (Average wage)</t>
  </si>
  <si>
    <t>Health, public (LCI)</t>
  </si>
  <si>
    <t>Health, all (LCI)</t>
  </si>
  <si>
    <t>Public (LCI)</t>
  </si>
  <si>
    <t>Total (LCI)</t>
  </si>
  <si>
    <t>Year ended June</t>
  </si>
  <si>
    <t>Rolling 3 years to June</t>
  </si>
  <si>
    <t>Core Crown Health expenses</t>
  </si>
  <si>
    <t>Core Crown total expenses</t>
  </si>
  <si>
    <t>GDP (Nominal)</t>
  </si>
  <si>
    <t>Crown as % GDP</t>
  </si>
  <si>
    <t>Health as % Crown</t>
  </si>
  <si>
    <t>Health as % GDP</t>
  </si>
  <si>
    <t>Shortfall from 2009/10 % of GDP ($bn)</t>
  </si>
  <si>
    <t>Vote Health expenses</t>
  </si>
  <si>
    <t>Vote Health as % Crown</t>
  </si>
  <si>
    <t>Vote Health as % GDP</t>
  </si>
  <si>
    <t>Vote Health (expenses and capital)</t>
  </si>
  <si>
    <t>Vote Health (expenses and capital) as % GDP</t>
  </si>
  <si>
    <t>Annual increase</t>
  </si>
  <si>
    <t>Vote Health 2018: increase from Vote Health 2017 required</t>
  </si>
  <si>
    <t>Maintain %GDP as 2017 f/c</t>
  </si>
  <si>
    <t>Maintain %GDP as 2010</t>
  </si>
  <si>
    <t>2018
Forecast</t>
  </si>
  <si>
    <t>2019
Forecast</t>
  </si>
  <si>
    <t>2020
Forecast</t>
  </si>
  <si>
    <t>Payments to District Health Boards</t>
  </si>
  <si>
    <t>DHB funding as % GDP</t>
  </si>
  <si>
    <t>Annual increase in GDP</t>
  </si>
  <si>
    <t>Capital expenditure</t>
  </si>
  <si>
    <t>From Health appropriations</t>
  </si>
  <si>
    <t>Demogr.</t>
  </si>
  <si>
    <t>CPI (40%)</t>
  </si>
  <si>
    <t>Wages (60%)</t>
  </si>
  <si>
    <t>Initiatives</t>
  </si>
  <si>
    <t>Total incr</t>
  </si>
  <si>
    <t>Pay equity ($b)</t>
  </si>
  <si>
    <t>Total ($b)</t>
  </si>
  <si>
    <t>Additional</t>
  </si>
  <si>
    <t>Cumulative</t>
  </si>
  <si>
    <t>Source: DHB consolidated financial reports (provided by Ministry of Health) and monthly financial reports available at</t>
  </si>
  <si>
    <t>http://www.health.govt.nz/new-zealand-health-system/key-health-sector-organisations-and-people/district-health-boards/accountability-and-funding/summary-financial-reports</t>
  </si>
  <si>
    <t>Funder Arm payments to providers ($000000)</t>
  </si>
  <si>
    <t>(est)</t>
  </si>
  <si>
    <t>Funder Arm payments to providers proportion of total</t>
  </si>
  <si>
    <t>MoH - Personal Health</t>
  </si>
  <si>
    <t>MoH - Mental Health</t>
  </si>
  <si>
    <t>MoH - Public Health</t>
  </si>
  <si>
    <t>MoH - Disability Support Services</t>
  </si>
  <si>
    <t>MoH - Maori Health</t>
  </si>
  <si>
    <t>Provider and Governance proportion of DHB Expenditure</t>
  </si>
  <si>
    <t>Auckland DHB</t>
  </si>
  <si>
    <t>Bay of Plenty DHB</t>
  </si>
  <si>
    <t>Canterbury DHB</t>
  </si>
  <si>
    <t>Capital &amp; Coast DHB</t>
  </si>
  <si>
    <t>Counties Manukau DHB</t>
  </si>
  <si>
    <t>Hawke's Bay DHB</t>
  </si>
  <si>
    <t>Hutt Valley DHB</t>
  </si>
  <si>
    <t>Lakes DHB</t>
  </si>
  <si>
    <t>MidCentral DHB</t>
  </si>
  <si>
    <t>Nelson Marlborough DHB</t>
  </si>
  <si>
    <t>Northland DHB</t>
  </si>
  <si>
    <t>Otago DHB</t>
  </si>
  <si>
    <t>South Canterbury DHB</t>
  </si>
  <si>
    <t>Southern DHB</t>
  </si>
  <si>
    <t>Southland DHB</t>
  </si>
  <si>
    <t>Tairawhiti DHB</t>
  </si>
  <si>
    <t>Taranaki DHB</t>
  </si>
  <si>
    <t>Waikato DHB</t>
  </si>
  <si>
    <t>Wairarapa DHB</t>
  </si>
  <si>
    <t>Waitemata DHB</t>
  </si>
  <si>
    <t>West Coast DHB</t>
  </si>
  <si>
    <t>Whanganui DHB</t>
  </si>
  <si>
    <t>All DHBs</t>
  </si>
  <si>
    <t>Provider Arm</t>
  </si>
  <si>
    <t>In 2017 made up of</t>
  </si>
  <si>
    <t>In 2018 made up of</t>
  </si>
  <si>
    <t>In 2019 made up of</t>
  </si>
  <si>
    <t>Labour ($000)</t>
  </si>
  <si>
    <t>Labour proportion of Provider expenditure</t>
  </si>
  <si>
    <t>Medical</t>
  </si>
  <si>
    <t>Nursing</t>
  </si>
  <si>
    <t>Other</t>
  </si>
  <si>
    <t>Outsourcing ($000)</t>
  </si>
  <si>
    <t>Outsourcing proportion of Provider expenditure</t>
  </si>
  <si>
    <t>Non-Personnel ($000)</t>
  </si>
  <si>
    <t>Non-Personnel proportion of Provider expenditure</t>
  </si>
  <si>
    <t>Total expenditure ($000)</t>
  </si>
  <si>
    <t>FTES</t>
  </si>
  <si>
    <t>Average cost per FTE ($000)</t>
  </si>
  <si>
    <t>Increase in average cost per FTE</t>
  </si>
  <si>
    <t>Average cost per FTE - Medical ($000)</t>
  </si>
  <si>
    <t>Average cost per FTE - Nursing ($000)</t>
  </si>
  <si>
    <t>Average cost per FTE - Other staff ($000)</t>
  </si>
  <si>
    <t>Combined DHB surplus/(deficit)</t>
  </si>
  <si>
    <t>Funder</t>
  </si>
  <si>
    <t>Governance</t>
  </si>
  <si>
    <t>Provider</t>
  </si>
  <si>
    <t>Combined DHBs total expenditure</t>
  </si>
  <si>
    <t>Provider arm as proportion total expenditure</t>
  </si>
  <si>
    <t>Demographics - received from Ministry of Health 2 June 2016</t>
  </si>
  <si>
    <t>Children 0-19</t>
  </si>
  <si>
    <t>Value (m)</t>
  </si>
  <si>
    <t>Mental Health weighted demographic</t>
  </si>
  <si>
    <r>
      <t>M</t>
    </r>
    <r>
      <rPr>
        <sz val="10"/>
        <color indexed="8"/>
        <rFont val="Calibri"/>
        <family val="2"/>
      </rPr>
      <t>ā</t>
    </r>
    <r>
      <rPr>
        <sz val="10"/>
        <color indexed="8"/>
        <rFont val="Arial"/>
        <family val="2"/>
      </rPr>
      <t>ori</t>
    </r>
  </si>
  <si>
    <t>Cost-weighted</t>
  </si>
  <si>
    <t>series</t>
  </si>
  <si>
    <t>Live births (by sex), stillbirths (Maori and total population) (Qrtly-Mar/Jun/Sep/Dec)</t>
  </si>
  <si>
    <t>Average annual increase</t>
  </si>
  <si>
    <t>Consolidated</t>
  </si>
  <si>
    <t>Estimated Resident Population by Age and Sex (1991+) (Annual-Jun)</t>
  </si>
  <si>
    <t>financial year</t>
  </si>
  <si>
    <t>DHBs</t>
  </si>
  <si>
    <t>From Ministry of Health Demographic Forecast Model, 2019/20</t>
  </si>
  <si>
    <t>Total births (live and still)</t>
  </si>
  <si>
    <t>Live births</t>
  </si>
  <si>
    <t>MOH projections</t>
  </si>
  <si>
    <t>As at</t>
  </si>
  <si>
    <t>Mental Health</t>
  </si>
  <si>
    <t>Year to June</t>
  </si>
  <si>
    <t>Increase</t>
  </si>
  <si>
    <t>0-19</t>
  </si>
  <si>
    <t>Annual increase to June</t>
  </si>
  <si>
    <t>At June</t>
  </si>
  <si>
    <t>65+</t>
  </si>
  <si>
    <t>2003/04</t>
  </si>
  <si>
    <t>used</t>
  </si>
  <si>
    <t>revised</t>
  </si>
  <si>
    <t>variance</t>
  </si>
  <si>
    <t>Combined series</t>
  </si>
  <si>
    <t>2007Q1</t>
  </si>
  <si>
    <t>0 Years</t>
  </si>
  <si>
    <t>1 Years</t>
  </si>
  <si>
    <t>2 Years</t>
  </si>
  <si>
    <t>3 Years</t>
  </si>
  <si>
    <t>4 Years</t>
  </si>
  <si>
    <t>5 Years</t>
  </si>
  <si>
    <t>6 Years</t>
  </si>
  <si>
    <t>7 Years</t>
  </si>
  <si>
    <t>8 Years</t>
  </si>
  <si>
    <t>9 Years</t>
  </si>
  <si>
    <t>10 Years</t>
  </si>
  <si>
    <t>11 Years</t>
  </si>
  <si>
    <t>12 Years</t>
  </si>
  <si>
    <t>13 Years</t>
  </si>
  <si>
    <t>14 Years</t>
  </si>
  <si>
    <t>15 Years</t>
  </si>
  <si>
    <t>16 Years</t>
  </si>
  <si>
    <t>17 Years</t>
  </si>
  <si>
    <t>18 Years</t>
  </si>
  <si>
    <t>19 Years</t>
  </si>
  <si>
    <t>Under 20 Years</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</si>
  <si>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</si>
  <si>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</si>
  <si>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</si>
  <si>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</si>
  <si>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</si>
  <si>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</si>
  <si>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</si>
  <si>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</si>
  <si>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</si>
  <si>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</si>
  <si>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</si>
  <si>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</si>
  <si>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</si>
  <si>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</si>
  <si>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</si>
  <si>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</si>
  <si>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</si>
  <si>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</si>
  <si>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</si>
  <si>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</si>
  <si>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</si>
  <si>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</si>
  <si>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</si>
  <si>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</si>
  <si>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</si>
  <si>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</si>
  <si>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</si>
  <si>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</si>
  <si>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2004/05</t>
  </si>
  <si>
    <t>Auckland</t>
  </si>
  <si>
    <t>2007Q2</t>
  </si>
  <si>
    <t>Male</t>
  </si>
  <si>
    <t>2005/06</t>
  </si>
  <si>
    <t>Bay of Plenty</t>
  </si>
  <si>
    <t>2007Q3</t>
  </si>
  <si>
    <t>0-4 Years</t>
  </si>
  <si>
    <t>2006/07</t>
  </si>
  <si>
    <t>Canterbury</t>
  </si>
  <si>
    <t>2007Q4</t>
  </si>
  <si>
    <t>5-9 Years</t>
  </si>
  <si>
    <t>2007/08</t>
  </si>
  <si>
    <t>Capital and Coast</t>
  </si>
  <si>
    <t>2008Q1</t>
  </si>
  <si>
    <t>10-14 Years</t>
  </si>
  <si>
    <t>2008/09</t>
  </si>
  <si>
    <t>Counties Manukau</t>
  </si>
  <si>
    <t>2008Q2</t>
  </si>
  <si>
    <t>15-19 Years</t>
  </si>
  <si>
    <t>2009/10</t>
  </si>
  <si>
    <t>Hawke's Bay</t>
  </si>
  <si>
    <t>2008Q3</t>
  </si>
  <si>
    <t>20-24 Years</t>
  </si>
  <si>
    <t>2010/11</t>
  </si>
  <si>
    <t>Hutt</t>
  </si>
  <si>
    <t>2008Q4</t>
  </si>
  <si>
    <t>25-29 Years</t>
  </si>
  <si>
    <t>2011/12</t>
  </si>
  <si>
    <t>Lakes</t>
  </si>
  <si>
    <t>2009Q1</t>
  </si>
  <si>
    <t>30-34 Years</t>
  </si>
  <si>
    <t>2012/13</t>
  </si>
  <si>
    <t>Midcentral</t>
  </si>
  <si>
    <t>2009Q2</t>
  </si>
  <si>
    <t>35-39 Years</t>
  </si>
  <si>
    <t>2013/14</t>
  </si>
  <si>
    <t>Nelson Marlborough</t>
  </si>
  <si>
    <t>2009Q3</t>
  </si>
  <si>
    <t>40-44 Years</t>
  </si>
  <si>
    <t>2014/15</t>
  </si>
  <si>
    <t>Northland</t>
  </si>
  <si>
    <t>2009Q4</t>
  </si>
  <si>
    <t>45-49 Years</t>
  </si>
  <si>
    <t>2015/16</t>
  </si>
  <si>
    <t>South Canterbury</t>
  </si>
  <si>
    <t>2010Q1</t>
  </si>
  <si>
    <t>50-54 Years</t>
  </si>
  <si>
    <t>2016/17</t>
  </si>
  <si>
    <t>Southern</t>
  </si>
  <si>
    <t>2010Q2</t>
  </si>
  <si>
    <r>
      <t>Table information:</t>
    </r>
    <r>
      <rPr>
        <sz val="11"/>
        <color theme="1"/>
        <rFont val="Calibri"/>
        <family val="2"/>
        <scheme val="minor"/>
      </rPr>
      <t xml:space="preserve"> </t>
    </r>
  </si>
  <si>
    <t>Not updated</t>
  </si>
  <si>
    <t>55-59 Years</t>
  </si>
  <si>
    <t>2017/18</t>
  </si>
  <si>
    <t>Tairawhiti</t>
  </si>
  <si>
    <t>2010Q3</t>
  </si>
  <si>
    <t>Units:</t>
  </si>
  <si>
    <t>60-64 Years</t>
  </si>
  <si>
    <t>2018/19</t>
  </si>
  <si>
    <t>Denotes Change in methodology to only Account for Devolved Funding</t>
  </si>
  <si>
    <t>Taranaki</t>
  </si>
  <si>
    <t>2010Q4</t>
  </si>
  <si>
    <t>Number, Magnitude = Units</t>
  </si>
  <si>
    <t>65-69 Years</t>
  </si>
  <si>
    <t>2019/20</t>
  </si>
  <si>
    <t>note the change was not just for this - large population increase as well.</t>
  </si>
  <si>
    <t>Waikato</t>
  </si>
  <si>
    <t>2011Q1</t>
  </si>
  <si>
    <t>70-74 Years</t>
  </si>
  <si>
    <t>2020/21</t>
  </si>
  <si>
    <t>also switch to new PBFF cost weights</t>
  </si>
  <si>
    <t>Wairarapa</t>
  </si>
  <si>
    <t>2011Q2</t>
  </si>
  <si>
    <t>Footnotes:</t>
  </si>
  <si>
    <t>75-79 Years</t>
  </si>
  <si>
    <t>2021/22</t>
  </si>
  <si>
    <t>Waitemata</t>
  </si>
  <si>
    <t>2011Q3</t>
  </si>
  <si>
    <t>Current population estimates are based on the 2013 Census usually resident population count. Revised population estimates using the 2018 Census results as a base will be released in mid-2019 after 2018 census results are available.</t>
  </si>
  <si>
    <t>80-84 Years</t>
  </si>
  <si>
    <t>2022/23</t>
  </si>
  <si>
    <t>West Coast</t>
  </si>
  <si>
    <t>2011Q4</t>
  </si>
  <si>
    <t>85-89 Years</t>
  </si>
  <si>
    <t>2023/24</t>
  </si>
  <si>
    <t>Whanganui</t>
  </si>
  <si>
    <t>2012Q1</t>
  </si>
  <si>
    <t>Symbols:</t>
  </si>
  <si>
    <t>85 Years and Over</t>
  </si>
  <si>
    <t>2024/25</t>
  </si>
  <si>
    <t>Grand total</t>
  </si>
  <si>
    <t>2012Q2</t>
  </si>
  <si>
    <t>.. figure not available</t>
  </si>
  <si>
    <t>90 Years and over</t>
  </si>
  <si>
    <t>2025/26</t>
  </si>
  <si>
    <t>2012Q3</t>
  </si>
  <si>
    <t>C: Confidential</t>
  </si>
  <si>
    <t>Female</t>
  </si>
  <si>
    <t>2026/27</t>
  </si>
  <si>
    <t>Population</t>
  </si>
  <si>
    <t>2012Q4</t>
  </si>
  <si>
    <t>E: Early Estimate</t>
  </si>
  <si>
    <t>2027/28</t>
  </si>
  <si>
    <t>Aging</t>
  </si>
  <si>
    <t>2013Q1</t>
  </si>
  <si>
    <t>P: Provisional</t>
  </si>
  <si>
    <t>2028/29</t>
  </si>
  <si>
    <t>2013Q2</t>
  </si>
  <si>
    <t>R: Revised</t>
  </si>
  <si>
    <t>2029/30</t>
  </si>
  <si>
    <t>2013Q3</t>
  </si>
  <si>
    <t>S: Suppressed</t>
  </si>
  <si>
    <t>2030/31</t>
  </si>
  <si>
    <t>2013Q4</t>
  </si>
  <si>
    <t>2031/32</t>
  </si>
  <si>
    <t>2014Q1</t>
  </si>
  <si>
    <t>Status flags are not displayed</t>
  </si>
  <si>
    <t>2032/33</t>
  </si>
  <si>
    <t>2014Q2</t>
  </si>
  <si>
    <t>2014Q3</t>
  </si>
  <si>
    <t>Table reference:</t>
  </si>
  <si>
    <t>2014Q4</t>
  </si>
  <si>
    <t>DPE056AG</t>
  </si>
  <si>
    <t>2015Q1</t>
  </si>
  <si>
    <t>From fsm-befu14.xls, Tracks tab</t>
  </si>
  <si>
    <t>Wage, price inflation</t>
  </si>
  <si>
    <t>2015Q2</t>
  </si>
  <si>
    <t>Last updated:</t>
  </si>
  <si>
    <t>Total Crown Health FC, FSM, PREFU 2017</t>
  </si>
  <si>
    <t>2015Q3</t>
  </si>
  <si>
    <t>6 Years: 13 November 2018 10:45am</t>
  </si>
  <si>
    <t>HEALTH COST WEIGHTS IN THE LONG TERM FISCAL MODEL (2009/10 $)</t>
  </si>
  <si>
    <t>2015Q4</t>
  </si>
  <si>
    <t>5 Years: 13 November 2018 10:45am</t>
  </si>
  <si>
    <t xml:space="preserve">EXPENDITURE CATEGORY    </t>
  </si>
  <si>
    <t>PERSONAL HEALTH</t>
  </si>
  <si>
    <t xml:space="preserve">   DSS OLDER</t>
  </si>
  <si>
    <t>MENTAL HEALTH</t>
  </si>
  <si>
    <t>PUBLIC HEALTH</t>
  </si>
  <si>
    <t>DSS UNDER 65</t>
  </si>
  <si>
    <t>TOTAL HEALTH</t>
  </si>
  <si>
    <t>2001/02</t>
  </si>
  <si>
    <t>2016Q1</t>
  </si>
  <si>
    <t>4 Years: 13 November 2018 10:45am</t>
  </si>
  <si>
    <t>AGE GROUP / GENDER</t>
  </si>
  <si>
    <t>FEMALE</t>
  </si>
  <si>
    <t>MALE</t>
  </si>
  <si>
    <t>2002/03</t>
  </si>
  <si>
    <t>2016Q2</t>
  </si>
  <si>
    <t>3 Years: 13 November 2018 10:45am</t>
  </si>
  <si>
    <t>0 - 4</t>
  </si>
  <si>
    <t>2016Q3</t>
  </si>
  <si>
    <t>2 Years: 13 November 2018 10:45am</t>
  </si>
  <si>
    <t>5 - 9</t>
  </si>
  <si>
    <t>2016Q4</t>
  </si>
  <si>
    <t>1 Years: 13 November 2018 10:45am</t>
  </si>
  <si>
    <t>10 - 14</t>
  </si>
  <si>
    <t>2017Q1</t>
  </si>
  <si>
    <t>0 Years: 13 November 2018 10:45am</t>
  </si>
  <si>
    <t>15 - 19</t>
  </si>
  <si>
    <t>2017Q2</t>
  </si>
  <si>
    <t>Under 20 Years: 13 November 2018 10:45am</t>
  </si>
  <si>
    <t>20 - 24</t>
  </si>
  <si>
    <t>2017Q3</t>
  </si>
  <si>
    <t>19 Years: 13 November 2018 10:45am</t>
  </si>
  <si>
    <t>25 - 29</t>
  </si>
  <si>
    <t>2017Q4</t>
  </si>
  <si>
    <t>18 Years: 13 November 2018 10:45am</t>
  </si>
  <si>
    <t>30 - 34</t>
  </si>
  <si>
    <t>2018Q1</t>
  </si>
  <si>
    <t>17 Years: 13 November 2018 10:45am</t>
  </si>
  <si>
    <t>35 - 39</t>
  </si>
  <si>
    <t>2018Q2</t>
  </si>
  <si>
    <t>16 Years: 13 November 2018 10:45am</t>
  </si>
  <si>
    <t>40 - 44</t>
  </si>
  <si>
    <t>2018Q3</t>
  </si>
  <si>
    <t>15 Years: 13 November 2018 10:45am</t>
  </si>
  <si>
    <t>45 - 49</t>
  </si>
  <si>
    <t>2018Q4</t>
  </si>
  <si>
    <t>14 Years: 13 November 2018 10:45am</t>
  </si>
  <si>
    <t>50 - 54</t>
  </si>
  <si>
    <t>13 Years: 13 November 2018 10:45am</t>
  </si>
  <si>
    <t>55 - 59</t>
  </si>
  <si>
    <t>12 Years: 13 November 2018 10:45am</t>
  </si>
  <si>
    <t>60 - 64</t>
  </si>
  <si>
    <t>11 Years: 13 November 2018 10:45am</t>
  </si>
  <si>
    <t>65 - 69</t>
  </si>
  <si>
    <t>10 Years: 13 November 2018 10:45am</t>
  </si>
  <si>
    <t>70 - 74</t>
  </si>
  <si>
    <t>9 Years: 13 November 2018 10:45am</t>
  </si>
  <si>
    <t>75 - 79</t>
  </si>
  <si>
    <t>From September 1995, birth and death registrations collected ethnicity based on self-identification, rather than degree-of-blood.</t>
  </si>
  <si>
    <t>8 Years: 13 November 2018 10:45am</t>
  </si>
  <si>
    <t>80 - 84</t>
  </si>
  <si>
    <t>Until 30 August 1995, a stillbirth was defined as a child born dead after 28 weeks of pregnancy. From 1 September 1995, a child is stillborn when it is dead at birth and either weighs 400g or more at birth, or is born after the 20th week of pregnancy.</t>
  </si>
  <si>
    <t>7 Years: 13 November 2018 10:45am</t>
  </si>
  <si>
    <t>85+</t>
  </si>
  <si>
    <t>Births and deaths data are based on date of registration (not date of occurrence). Data before 1991 includes New Zealand residents and overseas visitors. Data from 1991 includes New Zealand residents only.</t>
  </si>
  <si>
    <t>TOTAL</t>
  </si>
  <si>
    <t>Apart from some historical data, births exclude late registrations under section 16 of the Births, Deaths, Marriages, and Relationships Registration Act 1995.</t>
  </si>
  <si>
    <t>Source: Statistics New Zealand</t>
  </si>
  <si>
    <t>Data has been randomly rounded to protect confidentiality. Individual figures may not add up to totals, and values for the same data may vary in different tables.</t>
  </si>
  <si>
    <t>Contact: Information Centre</t>
  </si>
  <si>
    <t>Telephone: 0508 525 525</t>
  </si>
  <si>
    <t>Email:info@stats.govt.nz</t>
  </si>
  <si>
    <t>VSB034AA</t>
  </si>
  <si>
    <t>19 February 2019 10:45am</t>
  </si>
  <si>
    <t>90 Years and over: 13 November 2018 10:45am</t>
  </si>
  <si>
    <t>85 Years and Over: 13 November 2018 10:45am</t>
  </si>
  <si>
    <t>85-89 Years: 13 November 2018 10:45am</t>
  </si>
  <si>
    <t>80-84 Years: 13 November 2018 10:45am</t>
  </si>
  <si>
    <t>75-79 Years: 13 November 2018 10:45am</t>
  </si>
  <si>
    <t>70-74 Years: 13 November 2018 10:45am</t>
  </si>
  <si>
    <t>65-69 Years: 13 November 2018 10:45am</t>
  </si>
  <si>
    <t>60-64 Years: 13 November 2018 10:45am</t>
  </si>
  <si>
    <t>55-59 Years: 13 November 2018 10:45am</t>
  </si>
  <si>
    <t>50-54 Years: 13 November 2018 10:45am</t>
  </si>
  <si>
    <t>45-49 Years: 13 November 2018 10:45am</t>
  </si>
  <si>
    <t>40-44 Years: 13 November 2018 10:45am</t>
  </si>
  <si>
    <t>35-39 Years: 13 November 2018 10:45am</t>
  </si>
  <si>
    <t>30-34 Years: 13 November 2018 10:45am</t>
  </si>
  <si>
    <t>25-29 Years: 13 November 2018 10:45am</t>
  </si>
  <si>
    <t>20-24 Years: 13 November 2018 10:45am</t>
  </si>
  <si>
    <t>15-19 Years: 13 November 2018 10:45am</t>
  </si>
  <si>
    <t>10-14 Years: 13 November 2018 10:45am</t>
  </si>
  <si>
    <t>5-9 Years: 13 November 2018 10:45am</t>
  </si>
  <si>
    <t>0-4 Years: 13 November 2018 10:45am</t>
  </si>
  <si>
    <t>Inputs (ANZSIC06) - NZSIOC level 3, Base: Dec. 2010 quarter (=1000) (Qrtly-Mar/Jun/Sep/Dec)</t>
  </si>
  <si>
    <t>Inputs (ANZSIC06) - NZSIOC level 4, Base: Dec. 2010 quarter (=1000) (Qrtly-Mar/Jun/Sep/Dec)</t>
  </si>
  <si>
    <t>CPI All Groups for New Zealand (Qrtly-Mar/Jun/Sep/Dec)</t>
  </si>
  <si>
    <t>CPI Level 1 Groups for New Zealand (Qrtly-Mar/Jun/Sep/Dec)</t>
  </si>
  <si>
    <t>Average Hourly Earnings by Industry (ANZSIC06) and Sex (Qrtly-Mar/Jun/Sep/Dec) (Total hourly)</t>
  </si>
  <si>
    <t>Average Hourly Earnings by Industry (ANZSIC06) and Sex (Qrtly-Mar/Jun/Sep/Dec)(Total hourly)</t>
  </si>
  <si>
    <t>All Industries</t>
  </si>
  <si>
    <t>Total Gross Earnings by Industry (ANZSIC06) (Qrtly-Mar/Jun/Sep/Dec)</t>
  </si>
  <si>
    <t>Total Paid Hours by Industry (ANZSIC06) (Qrtly-Mar/Jun/Sep/Dec)</t>
  </si>
  <si>
    <t>LCI: All Sectors Combined and Industry Group (ANZSIC06)(Base: June 2009 qtr (=1000)) (Qrtly-Mar/Jun/Sep/Dec)</t>
  </si>
  <si>
    <t>Annual increase y/y</t>
  </si>
  <si>
    <t>Quarterly increase</t>
  </si>
  <si>
    <t>Adult Minimum Wage (LHS)</t>
  </si>
  <si>
    <t>Real hourly earnings</t>
  </si>
  <si>
    <t>LCI</t>
  </si>
  <si>
    <t>Central Govt Sector and Industry Group (ANZSIC06)(Base: June 2009 qtr (=1000)) (Qrtly-Mar/Jun/Sep/Dec)</t>
  </si>
  <si>
    <t>Annual increases</t>
  </si>
  <si>
    <t>Private Sector and Industry Group (ANZSIC06)(Base: June 2009 qtr (=1000)) (Qrtly-Mar/Jun/Sep/Dec)</t>
  </si>
  <si>
    <t>All Sectors Combined and Industry Group (ANZSIC06)(Base: June 2009 qtr (=1000)) (Qrtly-Mar/Jun/Sep/Dec)</t>
  </si>
  <si>
    <t>Public Sector and Industry Group (ANZSIC06)(Base: June 2009 qtr (=1000)) (Qrtly-Mar/Jun/Sep/Dec)</t>
  </si>
  <si>
    <t>(DISC) All Sectors Combined and Industry Group (Base: June 2001 quarter (=1000)) (Qrtly-Mar/Jun/Sep/Dec)</t>
  </si>
  <si>
    <t>QEX - Average Hourly Earnings by Sector and Sex (Qrtly-Mar/Jun/Sep/Dec)</t>
  </si>
  <si>
    <t>Average Hourly Earnings by Industry (ANZSIC06) and Sex (Qrtly-Mar/Jun/Sep/Dec)</t>
  </si>
  <si>
    <t>Quarterly Index ;  Ordinary time hourly rates of pay excluding bonuses ;  Australia ;  Private and Public ;  Health care and social assistance ;</t>
  </si>
  <si>
    <t>Quarterly Index ;  Ordinary time hourly rates of pay excluding bonuses ;  Australia ;  Private ;  Health care and social assistance ;</t>
  </si>
  <si>
    <t>Quarterly Index ;  Ordinary time hourly rates of pay excluding bonuses ;  Australia ;  Public ;  Health care and social assistance ;</t>
  </si>
  <si>
    <t>Index Numbers ;  All groups CPI ;  Australia ;</t>
  </si>
  <si>
    <t>Real LCI/WPI</t>
  </si>
  <si>
    <t>Average wage (quarterly)</t>
  </si>
  <si>
    <t>Average wage (annual)</t>
  </si>
  <si>
    <t>Hospitals</t>
  </si>
  <si>
    <t>Medical and Other Health Care Services</t>
  </si>
  <si>
    <t>Residential Care Services and Social Assistance</t>
  </si>
  <si>
    <t>All groups</t>
  </si>
  <si>
    <t>Exl GST</t>
  </si>
  <si>
    <t>Total Both Sexes</t>
  </si>
  <si>
    <t>Annual increase q/q</t>
  </si>
  <si>
    <t>Salary and Ordinary Time Wage Rates</t>
  </si>
  <si>
    <t>All Salary and Wage Rates</t>
  </si>
  <si>
    <t>All Labour Costs</t>
  </si>
  <si>
    <t>$</t>
  </si>
  <si>
    <t>Annual Increase</t>
  </si>
  <si>
    <t>Total All Industries</t>
  </si>
  <si>
    <t>Central Government Administration, Defence and Public Safety</t>
  </si>
  <si>
    <t>All Industries Combined</t>
  </si>
  <si>
    <t>Health and Community Services</t>
  </si>
  <si>
    <t>All industries</t>
  </si>
  <si>
    <t>Health - public sector</t>
  </si>
  <si>
    <t>Public Sector</t>
  </si>
  <si>
    <t>Private Sector</t>
  </si>
  <si>
    <t>Total All Sectors</t>
  </si>
  <si>
    <t>Total (Ordinary Time + Overtime) Hourly</t>
  </si>
  <si>
    <t>Annual average increase</t>
  </si>
  <si>
    <t>Index Numbers</t>
  </si>
  <si>
    <t>Labour Cost Index, New Zealand</t>
  </si>
  <si>
    <t xml:space="preserve">Wage Price Index, Australia </t>
  </si>
  <si>
    <t>..</t>
  </si>
  <si>
    <t>Original</t>
  </si>
  <si>
    <t>Public and Private Sectors</t>
  </si>
  <si>
    <t>Public Sector only</t>
  </si>
  <si>
    <t>1989Q1</t>
  </si>
  <si>
    <t>2001Q2</t>
  </si>
  <si>
    <t>1992Q4</t>
  </si>
  <si>
    <t>INDEX</t>
  </si>
  <si>
    <t>1989Q2</t>
  </si>
  <si>
    <t>2001Q3</t>
  </si>
  <si>
    <t>1993Q1</t>
  </si>
  <si>
    <t>Quarter</t>
  </si>
  <si>
    <t>1989Q3</t>
  </si>
  <si>
    <t>2001Q4</t>
  </si>
  <si>
    <t>1993Q2</t>
  </si>
  <si>
    <t>1989Q4</t>
  </si>
  <si>
    <t>2002Q1</t>
  </si>
  <si>
    <t>1993Q3</t>
  </si>
  <si>
    <t>1990Q1</t>
  </si>
  <si>
    <t>2002Q2</t>
  </si>
  <si>
    <t>1993Q4</t>
  </si>
  <si>
    <t>1990Q2</t>
  </si>
  <si>
    <t>2002Q3</t>
  </si>
  <si>
    <t>1994Q1</t>
  </si>
  <si>
    <t>1990Q3</t>
  </si>
  <si>
    <t>2002Q4</t>
  </si>
  <si>
    <t>1994Q2</t>
  </si>
  <si>
    <t>A2639409J</t>
  </si>
  <si>
    <t>A2638839R</t>
  </si>
  <si>
    <t>A2639789W</t>
  </si>
  <si>
    <t>A2325846C</t>
  </si>
  <si>
    <t>1990Q4</t>
  </si>
  <si>
    <t>2003Q1</t>
  </si>
  <si>
    <t>1994Q3</t>
  </si>
  <si>
    <t>1991Q1</t>
  </si>
  <si>
    <t>2003Q2</t>
  </si>
  <si>
    <t>1994Q4</t>
  </si>
  <si>
    <t>1991Q2</t>
  </si>
  <si>
    <t>2003Q3</t>
  </si>
  <si>
    <t>1995Q1</t>
  </si>
  <si>
    <t>1991Q3</t>
  </si>
  <si>
    <t>2003Q4</t>
  </si>
  <si>
    <t>1995Q2</t>
  </si>
  <si>
    <t>1991Q4</t>
  </si>
  <si>
    <t>2004Q1</t>
  </si>
  <si>
    <t>1995Q3</t>
  </si>
  <si>
    <t>1992Q1</t>
  </si>
  <si>
    <t>2004Q2</t>
  </si>
  <si>
    <t>1995Q4</t>
  </si>
  <si>
    <t>1992Q2</t>
  </si>
  <si>
    <t>2004Q3</t>
  </si>
  <si>
    <t>1996Q1</t>
  </si>
  <si>
    <t>1992Q3</t>
  </si>
  <si>
    <t>2004Q4</t>
  </si>
  <si>
    <t>1996Q2</t>
  </si>
  <si>
    <t>2005Q1</t>
  </si>
  <si>
    <t>1996Q3</t>
  </si>
  <si>
    <t>2005Q2</t>
  </si>
  <si>
    <t>1996Q4</t>
  </si>
  <si>
    <t>2005Q3</t>
  </si>
  <si>
    <t>1997Q1</t>
  </si>
  <si>
    <t>2005Q4</t>
  </si>
  <si>
    <t>1997Q2</t>
  </si>
  <si>
    <t>2006Q1</t>
  </si>
  <si>
    <t>1997Q3</t>
  </si>
  <si>
    <t>2006Q2</t>
  </si>
  <si>
    <t>1997Q4</t>
  </si>
  <si>
    <t>2006Q3</t>
  </si>
  <si>
    <t>1998Q1</t>
  </si>
  <si>
    <t>2006Q4</t>
  </si>
  <si>
    <t>1998Q2</t>
  </si>
  <si>
    <t>1998Q3</t>
  </si>
  <si>
    <t>1998Q4</t>
  </si>
  <si>
    <t>1999Q1</t>
  </si>
  <si>
    <t>1999Q2</t>
  </si>
  <si>
    <t>1999Q3</t>
  </si>
  <si>
    <t>1999Q4</t>
  </si>
  <si>
    <t>2000Q1</t>
  </si>
  <si>
    <t>2000Q2</t>
  </si>
  <si>
    <t>2000Q3</t>
  </si>
  <si>
    <t>2000Q4</t>
  </si>
  <si>
    <t>2001Q1</t>
  </si>
  <si>
    <t>Index, Magnitude = Units</t>
  </si>
  <si>
    <t>Base: June 2001 Quarter (=1000)</t>
  </si>
  <si>
    <t>2019Q1</t>
  </si>
  <si>
    <t>2019Q2</t>
  </si>
  <si>
    <t>2019Q3</t>
  </si>
  <si>
    <t>2019Q4</t>
  </si>
  <si>
    <t>2020Q1</t>
  </si>
  <si>
    <t>Since 2007</t>
  </si>
  <si>
    <t>2020Q2</t>
  </si>
  <si>
    <t>Jun09-Jun16</t>
  </si>
  <si>
    <t>Mar10-Jun15</t>
  </si>
  <si>
    <t>LCI022AA</t>
  </si>
  <si>
    <t>Jun10-Jun16</t>
  </si>
  <si>
    <t>Jun10-Jun15</t>
  </si>
  <si>
    <t>Incr to 2012 (June years)</t>
  </si>
  <si>
    <t>All Salary and Wage Rates: 22 October 2010 10:45am</t>
  </si>
  <si>
    <t>All Labour Costs: 22 October 2010 10:45am</t>
  </si>
  <si>
    <t>$, Magnitude = Units</t>
  </si>
  <si>
    <t>The sheep, beef, and grain farming, and poultry, deer, and other livestock farming series have a base of the December 2013 quarter (= 1000)</t>
  </si>
  <si>
    <t>From the September 1999 quarter residential sections and interest are excluded.</t>
  </si>
  <si>
    <t>Base: June 2017 quarter (=1000).</t>
  </si>
  <si>
    <t>Base: June 2009 Quarter (=1000)</t>
  </si>
  <si>
    <t>Percentage changes are calculated from index numbers which are unrounded prior to the June 2017 quarter.</t>
  </si>
  <si>
    <t>Percentage changes are calculated from index numbers which are rounded prior to the June 2017 quarter.</t>
  </si>
  <si>
    <t>The measured sector (used in productivity statistics) is ANZSIC divisions A to K and P from 1978, and includes divisions LC (Business services) and Q (Personal and other community services) from 1996 onwards.</t>
  </si>
  <si>
    <t>From the September 2006 quarter, prices for fresh fruit and vegetables are seasonally unadjusted. They were seasonally adjusted until the June 2006 quarter.</t>
  </si>
  <si>
    <t>The former measured sector (used in productivity statistics) is ANZSIC divisions A to K and P.</t>
  </si>
  <si>
    <t>PPI027AA</t>
  </si>
  <si>
    <t>QEX001AA</t>
  </si>
  <si>
    <t>QEX022AA</t>
  </si>
  <si>
    <t>QEX023AA</t>
  </si>
  <si>
    <t>PPI021AA</t>
  </si>
  <si>
    <t>LCI025AA</t>
  </si>
  <si>
    <t>LCI027AA</t>
  </si>
  <si>
    <t>LCI026AA</t>
  </si>
  <si>
    <t>20 February 2019 10:45am</t>
  </si>
  <si>
    <t>CPI010AA</t>
  </si>
  <si>
    <t>01 May 2019 10:45am</t>
  </si>
  <si>
    <t>01 February 2017 10:45am</t>
  </si>
  <si>
    <t>LCI028AA</t>
  </si>
  <si>
    <t>Health Care and Social Assistance: 20 February 2019 10:45am</t>
  </si>
  <si>
    <t>CPI009AA</t>
  </si>
  <si>
    <t>Central Government Administration, Defence and Public Safety: 01 May 2019 10:45am</t>
  </si>
  <si>
    <t>Health Care and Social Assistance: 01 May 2019 10:45am</t>
  </si>
  <si>
    <t>All Industries Combined: 01 May 2019 10:45am</t>
  </si>
  <si>
    <t>23 January 2019 10:45am</t>
  </si>
  <si>
    <t>Health Care and Social Assistance: 07 February 2019 10:45am</t>
  </si>
  <si>
    <t>17 April 2019 10:45am</t>
  </si>
  <si>
    <t>QEX002AA</t>
  </si>
  <si>
    <t>Summary: additional operational funding required</t>
  </si>
  <si>
    <t>For 2019/20</t>
  </si>
  <si>
    <t>Budget 2019</t>
  </si>
  <si>
    <t>Medical salary increases</t>
  </si>
  <si>
    <t>Medical proportion of DHB provider expenses</t>
  </si>
  <si>
    <t>Nursing salary increases</t>
  </si>
  <si>
    <t>Nursing proportion of DHB provider expenses</t>
  </si>
  <si>
    <t>Other Wage  increases - DHB Provider</t>
  </si>
  <si>
    <t>Other Wage proportion of DHB provider expenses</t>
  </si>
  <si>
    <t>Wage  increases in DHB funded services</t>
  </si>
  <si>
    <t>Other Wage proportion of DHB funded activities expenses</t>
  </si>
  <si>
    <t>Non-labour health services cost increases</t>
  </si>
  <si>
    <t>Non-labour proportion</t>
  </si>
  <si>
    <t>Non-labour general cost increases</t>
  </si>
  <si>
    <t>Population growth, including ageing effect</t>
  </si>
  <si>
    <t>Non-demographic growth</t>
  </si>
  <si>
    <t>Productivity growth</t>
  </si>
  <si>
    <t>Capital Goods proportion</t>
  </si>
  <si>
    <t>Capital Goods price increase</t>
  </si>
  <si>
    <t>Total increases</t>
  </si>
  <si>
    <t>Additional costs identified for 2019/20</t>
  </si>
  <si>
    <t>Restructuring/ devolution</t>
  </si>
  <si>
    <t>Required</t>
  </si>
  <si>
    <t>Totals</t>
  </si>
  <si>
    <t>Increase Required</t>
  </si>
  <si>
    <t>After Supplementary 2018/19</t>
  </si>
  <si>
    <t>Est actual 2018/19</t>
  </si>
  <si>
    <t>Increase Budget 2019 on Budget 2018</t>
  </si>
  <si>
    <t>Increase Budget 2019 on Actual</t>
  </si>
  <si>
    <t>Labour  proportion of expenditure</t>
  </si>
  <si>
    <t>Increase in births</t>
  </si>
  <si>
    <t>Child popn growth (0 - 19 yrs old)</t>
  </si>
  <si>
    <t>DHB provider wage increase</t>
  </si>
  <si>
    <t>Total wage increase</t>
  </si>
  <si>
    <t>Forecast All Industries Average Wage increase</t>
  </si>
  <si>
    <t>Provider proportion of DHB expenses in appropriation</t>
  </si>
  <si>
    <t>Other wages increases</t>
  </si>
  <si>
    <t>Cost-weighted Maori population growth</t>
  </si>
  <si>
    <t>$000</t>
  </si>
  <si>
    <t>%</t>
  </si>
  <si>
    <t>For sensitivity testing</t>
  </si>
  <si>
    <t>Parameters:</t>
  </si>
  <si>
    <t>Shortfall</t>
  </si>
  <si>
    <t>Population, aging, wage and price increases only</t>
  </si>
  <si>
    <t>Including "initiatives"</t>
  </si>
  <si>
    <t>After shifts to DHBs/Vote restructuring</t>
  </si>
  <si>
    <t>After "savings"</t>
  </si>
  <si>
    <t>Department operating appropriations</t>
  </si>
  <si>
    <t>Without additional costs</t>
  </si>
  <si>
    <t>Below need by</t>
  </si>
  <si>
    <t>Counties-Manukau</t>
  </si>
  <si>
    <t>Hawkes Bay</t>
  </si>
  <si>
    <t>MidCentral</t>
  </si>
  <si>
    <t>Nelson-Marlborough</t>
  </si>
  <si>
    <t>National Planned Care Services [was: National Elective Services]</t>
  </si>
  <si>
    <t>Supporting Equitable Pay [was: ... for Care and Support Workers]</t>
  </si>
  <si>
    <t>Total non-DHB</t>
  </si>
  <si>
    <t>Total Non-Departmental Output Expenses</t>
  </si>
  <si>
    <t>Total Departmental Other Expenses</t>
  </si>
  <si>
    <t>Total Non-Departmental Other Expenses</t>
  </si>
  <si>
    <t>Total Operational Expenses</t>
  </si>
  <si>
    <t>or</t>
  </si>
  <si>
    <t>Departmental Capital Expenditure</t>
  </si>
  <si>
    <t>Ministry of Health - Capital Expenditure PLA</t>
  </si>
  <si>
    <t>Total Departmental Capital Expenditure</t>
  </si>
  <si>
    <t>Non-Departmental Capital Expenditure</t>
  </si>
  <si>
    <t>Equity for Capital Projects for DHBs and Health Sector Crown Agencies</t>
  </si>
  <si>
    <t>Health Sector Projects</t>
  </si>
  <si>
    <t>Residential Care Loans</t>
  </si>
  <si>
    <t>Equity Support for DHB deficits [was: Deficit Support for DHBs]</t>
  </si>
  <si>
    <t>Total Non-Departmental Capital Expenditure</t>
  </si>
  <si>
    <t>Total Capital Expenditure</t>
  </si>
  <si>
    <t>Total Annual and Permanent Appropriations</t>
  </si>
  <si>
    <t>Summary of position, including "initiatives"</t>
  </si>
  <si>
    <t>Required for rising costs and population</t>
  </si>
  <si>
    <t>Appropriation</t>
  </si>
  <si>
    <t>Shortfall on rising costs and population</t>
  </si>
  <si>
    <t>Shortfall after initiatives</t>
  </si>
  <si>
    <t>Devolution to DHBs/restructured vote</t>
  </si>
  <si>
    <t>Shortfall after devolution/restructured vote</t>
  </si>
  <si>
    <t>Savings</t>
  </si>
  <si>
    <t>Shortfall after savings and restructuring</t>
  </si>
  <si>
    <t>Net additional costs of initiatives</t>
  </si>
  <si>
    <t>Departmental "Initiatives"</t>
  </si>
  <si>
    <t>Departmental appropriation</t>
  </si>
  <si>
    <t>DHB "Initiatives"</t>
  </si>
  <si>
    <t>DHB Appropriations</t>
  </si>
  <si>
    <t>National health services position</t>
  </si>
  <si>
    <t>Non-Departmental Other Expenses "initiatives"</t>
  </si>
  <si>
    <t>Total initiatives as % operating expenses</t>
  </si>
  <si>
    <t>1. 1 - New Policy Initiatives (p.9-14 of Health Estimates)</t>
  </si>
  <si>
    <t>Summary of Financial Activity (p.15 of Health Estimates)</t>
  </si>
  <si>
    <t>Policy Initiative</t>
  </si>
  <si>
    <t>2018/19
Final Budgeted
$000</t>
  </si>
  <si>
    <t>2019/20
Budget
$000</t>
  </si>
  <si>
    <t>2020/21
Estimated
$000</t>
  </si>
  <si>
    <t>2021/22
Estimated
$000</t>
  </si>
  <si>
    <t>2022/23
Estimated
$000</t>
  </si>
  <si>
    <t>Demo/cost pressure to continue existing programmes</t>
  </si>
  <si>
    <t>Wages</t>
  </si>
  <si>
    <t>Departmental</t>
  </si>
  <si>
    <t>Actual
$000</t>
  </si>
  <si>
    <t>Final Budgeted
$000</t>
  </si>
  <si>
    <t>Estimated
Actual
$000</t>
  </si>
  <si>
    <t>Departmental Transactions
Budget
$000</t>
  </si>
  <si>
    <t>Non- Departmental Transactions
Budget
$000</t>
  </si>
  <si>
    <t>Total Budget
$000</t>
  </si>
  <si>
    <t>Estimated
$000</t>
  </si>
  <si>
    <t>Funding for District Health Boards</t>
  </si>
  <si>
    <t>Appropriations</t>
  </si>
  <si>
    <t>District Health Boards - Additional Support to Improve the Health of New Zealanders</t>
  </si>
  <si>
    <r>
      <t>Health and Disability Support Services - DHBs</t>
    </r>
    <r>
      <rPr>
        <sz val="9"/>
        <color indexed="8"/>
        <rFont val="Arial Narrow"/>
        <family val="1"/>
        <charset val="204"/>
      </rPr>
      <t xml:space="preserve">
Non-departmental output expense</t>
    </r>
  </si>
  <si>
    <t>Output Expenses</t>
  </si>
  <si>
    <t>Settlement of the NZNO Nurses Multi-Employer Collective Agreement</t>
  </si>
  <si>
    <t>Benefits or Related Expenses</t>
  </si>
  <si>
    <t>-</t>
  </si>
  <si>
    <t>N/A</t>
  </si>
  <si>
    <r>
      <t>Supporting Safe Working Conditions for Nurses</t>
    </r>
    <r>
      <rPr>
        <sz val="9"/>
        <color indexed="8"/>
        <rFont val="Arial Narrow"/>
        <family val="1"/>
        <charset val="204"/>
      </rPr>
      <t xml:space="preserve">
Non-departmental output expense</t>
    </r>
  </si>
  <si>
    <t>Borrowing Expenses</t>
  </si>
  <si>
    <r>
      <t>Managing the Purchase of Services</t>
    </r>
    <r>
      <rPr>
        <sz val="9"/>
        <color indexed="8"/>
        <rFont val="Arial Narrow"/>
        <family val="1"/>
        <charset val="204"/>
      </rPr>
      <t xml:space="preserve">
Departmental output expense</t>
    </r>
  </si>
  <si>
    <t>Other Expenses</t>
  </si>
  <si>
    <t>Funding the DHB PSA Multi- Employer Collective Agreements</t>
  </si>
  <si>
    <t>Capital Expenditure</t>
  </si>
  <si>
    <t>Increasing Access to and the Range of Affordable Pharmaceuticals</t>
  </si>
  <si>
    <t>Intelligence and Security Department Expenses and Capital Expenditure</t>
  </si>
  <si>
    <t>Christchurch Terror Attacks - Initial Health Response</t>
  </si>
  <si>
    <r>
      <t>Health and Disability Support Services - Canterbury DHB</t>
    </r>
    <r>
      <rPr>
        <sz val="9"/>
        <color indexed="8"/>
        <rFont val="Arial Narrow"/>
        <family val="1"/>
        <charset val="204"/>
      </rPr>
      <t xml:space="preserve">
Non-departmental output expense</t>
    </r>
  </si>
  <si>
    <t>Multi-Category Expenses and Capital</t>
  </si>
  <si>
    <t>Improving the Financial Sustainability and Performance of District Health Boards</t>
  </si>
  <si>
    <r>
      <t>Health Services Funding</t>
    </r>
    <r>
      <rPr>
        <sz val="9"/>
        <color indexed="8"/>
        <rFont val="Arial Narrow"/>
        <family val="1"/>
        <charset val="204"/>
      </rPr>
      <t xml:space="preserve">
Non-departmental output expense</t>
    </r>
  </si>
  <si>
    <t>Expenditure (MCA)</t>
  </si>
  <si>
    <t>Funding for Mental Wellbeing</t>
  </si>
  <si>
    <t>Expanding Access and Choice of Primary Mental Health and Addiction Support</t>
  </si>
  <si>
    <r>
      <t>National Mental Health Services</t>
    </r>
    <r>
      <rPr>
        <sz val="9"/>
        <color indexed="8"/>
        <rFont val="Arial Narrow"/>
        <family val="1"/>
        <charset val="204"/>
      </rPr>
      <t xml:space="preserve">
Non-departmental output expense</t>
    </r>
  </si>
  <si>
    <r>
      <t xml:space="preserve">Health Workforce Training and </t>
    </r>
    <r>
      <rPr>
        <b/>
        <sz val="9"/>
        <color indexed="16"/>
        <rFont val="Arial Narrow"/>
        <family val="1"/>
        <charset val="204"/>
      </rPr>
      <t>Development</t>
    </r>
    <r>
      <rPr>
        <sz val="9"/>
        <color indexed="8"/>
        <rFont val="Arial Narrow"/>
        <family val="1"/>
        <charset val="204"/>
      </rPr>
      <t xml:space="preserve">
Non-departmental output expense</t>
    </r>
  </si>
  <si>
    <t>Total Appropriations</t>
  </si>
  <si>
    <r>
      <t>Health Sector Information Systems</t>
    </r>
    <r>
      <rPr>
        <sz val="9"/>
        <color indexed="8"/>
        <rFont val="Arial Narrow"/>
        <family val="1"/>
        <charset val="204"/>
      </rPr>
      <t xml:space="preserve">
Departmental output expense</t>
    </r>
  </si>
  <si>
    <t>Crown Revenue and Capital Receipts</t>
  </si>
  <si>
    <r>
      <t>Policy Advice and Ministerial Servicing MCA - Policy Advice</t>
    </r>
    <r>
      <rPr>
        <sz val="9"/>
        <color indexed="8"/>
        <rFont val="Arial Narrow"/>
        <family val="1"/>
        <charset val="204"/>
      </rPr>
      <t xml:space="preserve">
Departmental output expense</t>
    </r>
  </si>
  <si>
    <t>Tax Revenue</t>
  </si>
  <si>
    <t>Enhancing Specialist Alcohol and Other Drug Services</t>
  </si>
  <si>
    <t>Non-Tax Revenue</t>
  </si>
  <si>
    <t>Preventing Suicide and Supporting People Bereaved by Suicide</t>
  </si>
  <si>
    <t>Capital Receipts</t>
  </si>
  <si>
    <t>Expanding Telehealth and Digital Supports for Mental Wellbeing</t>
  </si>
  <si>
    <t>Total Crown Revenue and Capital Receipts</t>
  </si>
  <si>
    <t>Forensic Mental Health Services for Young People</t>
  </si>
  <si>
    <t>Forensic Mental Health Services for Adults</t>
  </si>
  <si>
    <t>Operational expenses</t>
  </si>
  <si>
    <t>Enhancing Primary Addiction Responses</t>
  </si>
  <si>
    <t>Mental Wellbeing Support for Parents and Whānau</t>
  </si>
  <si>
    <t>Improving Support for People Experiencing a Mental Health Crisis</t>
  </si>
  <si>
    <t>Intensive Parenting Support - Expanding the Pregnancy and Parenting Service to Improve the Wellbeing Outcomes of Parents and their Children</t>
  </si>
  <si>
    <t>Support for Christchurch - Continuation of Funding for Primary Care and Community- Based Mental Health Workers</t>
  </si>
  <si>
    <t>Te Ara Oranga - Continuing the Methamphetamine Harm Reduction Programme in Northland</t>
  </si>
  <si>
    <t>Promoting Wellbeing in Primary and Intermediate Schools</t>
  </si>
  <si>
    <t>Mental Health and Addiction Support Workers (Pay Equity) Settlement 2018</t>
  </si>
  <si>
    <r>
      <t>Supporting Equitable Pay</t>
    </r>
    <r>
      <rPr>
        <sz val="9"/>
        <color indexed="8"/>
        <rFont val="Arial Narrow"/>
        <family val="1"/>
        <charset val="204"/>
      </rPr>
      <t xml:space="preserve">
Non-departmental output expense</t>
    </r>
  </si>
  <si>
    <r>
      <t>Health Workforce Training and Development</t>
    </r>
    <r>
      <rPr>
        <sz val="9"/>
        <color indexed="8"/>
        <rFont val="Arial Narrow"/>
        <family val="1"/>
        <charset val="204"/>
      </rPr>
      <t xml:space="preserve">
Non-departmental output expense</t>
    </r>
  </si>
  <si>
    <t>Expanding and Enhancing School Based Health Services</t>
  </si>
  <si>
    <r>
      <t>National Child Health Services</t>
    </r>
    <r>
      <rPr>
        <sz val="9"/>
        <color indexed="8"/>
        <rFont val="Arial Narrow"/>
        <family val="1"/>
        <charset val="204"/>
      </rPr>
      <t xml:space="preserve">
Non-departmental output expense</t>
    </r>
  </si>
  <si>
    <t>Establishing a New Mental Health and Wellbeing Commission</t>
  </si>
  <si>
    <r>
      <t>Monitoring and Protecting Health and Disability Consumer Interests</t>
    </r>
    <r>
      <rPr>
        <sz val="9"/>
        <color indexed="8"/>
        <rFont val="Arial Narrow"/>
        <family val="1"/>
        <charset val="204"/>
      </rPr>
      <t xml:space="preserve">
Non-departmental output expense</t>
    </r>
  </si>
  <si>
    <t>Funding for Disability Support Services</t>
  </si>
  <si>
    <t>Disability Support Services - Maintaining Health Services for Disabled New Zealanders</t>
  </si>
  <si>
    <r>
      <t>National Disability Support Services</t>
    </r>
    <r>
      <rPr>
        <sz val="9"/>
        <color indexed="8"/>
        <rFont val="Arial Narrow"/>
        <family val="1"/>
        <charset val="204"/>
      </rPr>
      <t xml:space="preserve">
Non-departmental output expense</t>
    </r>
  </si>
  <si>
    <t>Funding the Growth in In- Between Travel for Home and Community Support</t>
  </si>
  <si>
    <t>Meeting Minimum Wage Obligations under the Home and Community Support (Payment for Travel Between Clients) Settlement Act</t>
  </si>
  <si>
    <t>Disability Support System Transformation - MidCentral Prototype</t>
  </si>
  <si>
    <t>Funding for other initiatives</t>
  </si>
  <si>
    <t>Nursing Workforce Accord - Providing Additional Places for Nurse Entry to Practice</t>
  </si>
  <si>
    <t>Health Workforce Training and Development to Benefit Rural and Regional Areas</t>
  </si>
  <si>
    <t>Increasing Access to and Modernising Child Development Services to Improve the Health and Social Outcomes of Children with Additional Needs</t>
  </si>
  <si>
    <t>Well Child Tamariki Ora - Maintaining Universal Health Service for Children and Their Families from Birth to Five Years</t>
  </si>
  <si>
    <t>Supporting Schools and Early Learning Settings to Improve Wellbeing Through Healthy Eating and Quality Physical Activity</t>
  </si>
  <si>
    <r>
      <t>Public Health Service Purchasing</t>
    </r>
    <r>
      <rPr>
        <sz val="9"/>
        <color indexed="8"/>
        <rFont val="Arial Narrow"/>
        <family val="1"/>
        <charset val="204"/>
      </rPr>
      <t xml:space="preserve">
Non-departmental output expense</t>
    </r>
  </si>
  <si>
    <t>National Community Maternity Services - Maintaining Primary Maternity Services for New Zealanders to Support Healthy Pregnancies and Births</t>
  </si>
  <si>
    <r>
      <t>National Maternity Services</t>
    </r>
    <r>
      <rPr>
        <sz val="9"/>
        <color indexed="8"/>
        <rFont val="Arial Narrow"/>
        <family val="1"/>
        <charset val="204"/>
      </rPr>
      <t xml:space="preserve">
Non-departmental output expense</t>
    </r>
  </si>
  <si>
    <t>Improving the Financial Sustainability and Performance of Emergency Services</t>
  </si>
  <si>
    <r>
      <t>National Emergency Services</t>
    </r>
    <r>
      <rPr>
        <sz val="9"/>
        <color indexed="8"/>
        <rFont val="Arial Narrow"/>
        <family val="1"/>
        <charset val="204"/>
      </rPr>
      <t xml:space="preserve">
Non-departmental output expense</t>
    </r>
  </si>
  <si>
    <t>Supporting the Continued Delivery of Emergency Ambulance Services</t>
  </si>
  <si>
    <t>Planned Care, including Elective Surgery - Maintaining Services for New Zealanders</t>
  </si>
  <si>
    <r>
      <t>National Planned Care Services</t>
    </r>
    <r>
      <rPr>
        <sz val="9"/>
        <color indexed="8"/>
        <rFont val="Arial Narrow"/>
        <family val="1"/>
        <charset val="204"/>
      </rPr>
      <t xml:space="preserve">
Non-departmental output expense</t>
    </r>
  </si>
  <si>
    <t>Planned Care, including Elective Surgery - Increasing the Number of Interventions for New Zealanders</t>
  </si>
  <si>
    <t>Increasing Access to Gender Affirming Surgery</t>
  </si>
  <si>
    <t>Establish New Zealand Blood Service as the National Organ Donation Agency</t>
  </si>
  <si>
    <t>Primary Care - Maintaining Access to Primary Health Services for New Zealanders</t>
  </si>
  <si>
    <r>
      <t>Primary Health Care Strategy</t>
    </r>
    <r>
      <rPr>
        <sz val="9"/>
        <color indexed="8"/>
        <rFont val="Arial Narrow"/>
        <family val="1"/>
        <charset val="204"/>
      </rPr>
      <t xml:space="preserve">
Non-departmental output expense</t>
    </r>
  </si>
  <si>
    <t>Strategy to Prevent and Minimise Gambling Harm</t>
  </si>
  <si>
    <r>
      <t>Problem Gambling Services</t>
    </r>
    <r>
      <rPr>
        <sz val="9"/>
        <color indexed="8"/>
        <rFont val="Arial Narrow"/>
        <family val="1"/>
        <charset val="204"/>
      </rPr>
      <t xml:space="preserve">
Non-departmental output expense</t>
    </r>
  </si>
  <si>
    <t>National Bowel Screening Programme - Rollout of Programme to a Further Four DHBs</t>
  </si>
  <si>
    <t>Synthetic Drugs Response</t>
  </si>
  <si>
    <t>Violence Intervention Programme - Health Sector Screening for Early Intervention and Prevention of Family Violence</t>
  </si>
  <si>
    <t>Support for Rainbow Communities</t>
  </si>
  <si>
    <t>Funded Family Care</t>
  </si>
  <si>
    <r>
      <t>Legal Expenses</t>
    </r>
    <r>
      <rPr>
        <sz val="9"/>
        <color indexed="8"/>
        <rFont val="Arial Narrow"/>
        <family val="1"/>
        <charset val="204"/>
      </rPr>
      <t xml:space="preserve">
Non-departmental other expense</t>
    </r>
  </si>
  <si>
    <t>Supporting Integrated Health and Social Services at Auckland City Mission</t>
  </si>
  <si>
    <r>
      <t>Provider Development</t>
    </r>
    <r>
      <rPr>
        <sz val="9"/>
        <color indexed="8"/>
        <rFont val="Arial Narrow"/>
        <family val="1"/>
        <charset val="204"/>
      </rPr>
      <t xml:space="preserve">
Non-departmental other expense</t>
    </r>
  </si>
  <si>
    <t>Reducing the Incidence and Improving the Management of Rheumatic Fever</t>
  </si>
  <si>
    <t>Increasing the Pacific Provider and Workforce Development Fund to Support a Pacific Workforce Pipeline</t>
  </si>
  <si>
    <t>Increasing Investment in Pacific Innovation Funds to Improve Pacific Health Outcomes</t>
  </si>
  <si>
    <t>Support Programme for Pacific Students to Successfully Complete a Nursing/ Midwifery Undergraduate Degree</t>
  </si>
  <si>
    <t>Māori Health Workforce Development Package - Pathways to Ongoing Employment to Enable Equitable Health Outcomes</t>
  </si>
  <si>
    <t>Increasing Te Ao Auahatanga Hauora Māori: Māori Health Innovation Fund to Improve Māori Health Outcomes</t>
  </si>
  <si>
    <t>An Effective, Timely Crown Response to the Royal Commission of Inquiry into Historical Abuse in Care</t>
  </si>
  <si>
    <t>Medicinal Cannabis Scheme - Quality Standards and Licensing</t>
  </si>
  <si>
    <r>
      <t>Regulatory and Enforcement Services</t>
    </r>
    <r>
      <rPr>
        <sz val="9"/>
        <color indexed="8"/>
        <rFont val="Arial Narrow"/>
        <family val="1"/>
        <charset val="204"/>
      </rPr>
      <t xml:space="preserve">
Departmental output expense</t>
    </r>
  </si>
  <si>
    <t>Infrastructure Support for District Health Boards' Capital Projects</t>
  </si>
  <si>
    <r>
      <t>Sector Planning and Performance</t>
    </r>
    <r>
      <rPr>
        <sz val="9"/>
        <color indexed="8"/>
        <rFont val="Arial Narrow"/>
        <family val="1"/>
        <charset val="204"/>
      </rPr>
      <t xml:space="preserve">
Departmental output expense</t>
    </r>
  </si>
  <si>
    <t>Enhancing the Ministry of Health's Capability to Support Government Priorities</t>
  </si>
  <si>
    <t>Establishing the NZ Health and Disability System Review</t>
  </si>
  <si>
    <r>
      <t>Policy Advice and Ministerial Servicing MCA - Supporting the Review of the New Zealand Health and Disability System</t>
    </r>
    <r>
      <rPr>
        <sz val="9"/>
        <color indexed="8"/>
        <rFont val="Arial Narrow"/>
        <family val="1"/>
        <charset val="204"/>
      </rPr>
      <t xml:space="preserve">
Departmental output expense</t>
    </r>
  </si>
  <si>
    <t>2020 Cannabis Referendum: Approach and Timeframes</t>
  </si>
  <si>
    <t>Total Operating Expenditure</t>
  </si>
  <si>
    <t>District Health Boards' Capital Investment</t>
  </si>
  <si>
    <r>
      <t>Equity for Capital Projects for DHBs and Health Sector Crown Agencies</t>
    </r>
    <r>
      <rPr>
        <sz val="9"/>
        <color indexed="8"/>
        <rFont val="Arial Narrow"/>
        <family val="1"/>
        <charset val="204"/>
      </rPr>
      <t xml:space="preserve">
Non-departmental capital expenditure</t>
    </r>
  </si>
  <si>
    <t>District Health Boards - Deficit Support</t>
  </si>
  <si>
    <r>
      <t>Equity Support for DHB deficits</t>
    </r>
    <r>
      <rPr>
        <sz val="9"/>
        <color indexed="8"/>
        <rFont val="Arial Narrow"/>
        <family val="1"/>
        <charset val="204"/>
      </rPr>
      <t xml:space="preserve">
Non-departmental capital expenditure</t>
    </r>
  </si>
  <si>
    <t>Dunedin Hospital Redevelopment drawdown from Contingency Fund</t>
  </si>
  <si>
    <r>
      <t>Health Sector Projects</t>
    </r>
    <r>
      <rPr>
        <sz val="9"/>
        <color indexed="8"/>
        <rFont val="Arial Narrow"/>
        <family val="1"/>
        <charset val="204"/>
      </rPr>
      <t xml:space="preserve">
Non-departmental capital expenditure</t>
    </r>
  </si>
  <si>
    <t>National Screening Solution drawdown from Contingency Fund</t>
  </si>
  <si>
    <t>Departmental capital injection</t>
  </si>
  <si>
    <t>Operational only:</t>
  </si>
  <si>
    <t>Total to meet cost and population pressures</t>
  </si>
  <si>
    <t>New initiatives</t>
  </si>
  <si>
    <t>Leaving additional requirements</t>
  </si>
  <si>
    <t>Resulting from decisions in previous years -</t>
  </si>
  <si>
    <t>Cost and population pressures</t>
  </si>
  <si>
    <t>Cost pressures</t>
  </si>
  <si>
    <t>Provided</t>
  </si>
  <si>
    <t>Wage increases</t>
  </si>
  <si>
    <t>From Estimates</t>
  </si>
  <si>
    <t>Other initiatives/service requirements</t>
  </si>
  <si>
    <t>Programmes ending or reducing (from Estimates)</t>
  </si>
  <si>
    <t>Developing a Free Annual Health Check for SuperGold Card Holders</t>
  </si>
  <si>
    <t>First budgeted 2018/19; one off?</t>
  </si>
  <si>
    <t xml:space="preserve">Very Low Cost General Practitioner Visits for Community Services Card Holders
</t>
  </si>
  <si>
    <t>First budgeted 2017/18; greatly expanded in Budget 2018</t>
  </si>
  <si>
    <t>Health Sector Projects Operating Expenses (M36)</t>
  </si>
  <si>
    <t>Role is in effect transferred to Sector Planning and Performance (see supplementary estimates)</t>
  </si>
  <si>
    <t>Costs relating to meeting the obligations for safe staffing for nurses and to supporting the Care Capacity Demand Management (CCDM) Programme across District Health Boards.</t>
  </si>
  <si>
    <r>
      <t>Supporting Safe Working Conditions for Nurses</t>
    </r>
    <r>
      <rPr>
        <sz val="9"/>
        <rFont val="Arial Narrow"/>
        <family val="2"/>
      </rPr>
      <t>; only committed for 2018/19 (but $48 million) - but does it need to continue?</t>
    </r>
  </si>
  <si>
    <t>Assume above safe staffing needs to continue to be funded at original estimated cost</t>
  </si>
  <si>
    <t>Funding from previous years reducing</t>
  </si>
  <si>
    <t>Pharmaceuticals - More Publicly Funded Medicines (Budget 2017)</t>
  </si>
  <si>
    <r>
      <t>DHBs</t>
    </r>
    <r>
      <rPr>
        <sz val="9"/>
        <rFont val="Arial Narrow"/>
        <family val="2"/>
      </rPr>
      <t>; offset $10m in initiative "Increasing Access to and the Range of Affordable Pharmaceuticals"</t>
    </r>
  </si>
  <si>
    <t>More Publicly Funded Medicines (Budget 2016)</t>
  </si>
  <si>
    <t>Supporting Health Services in Canterbury (Budget 2016)</t>
  </si>
  <si>
    <r>
      <t>National Mental Health Services</t>
    </r>
    <r>
      <rPr>
        <sz val="9"/>
        <rFont val="Arial Narrow"/>
        <family val="2"/>
      </rPr>
      <t>; assume continued in initiative "Support for Christchurch - Continuation of Funding for Primary Care and Community- Based Mental Health Workers"</t>
    </r>
  </si>
  <si>
    <t>Funding from previous years increasing</t>
  </si>
  <si>
    <t>Budget 2017 initiative Emergency Ambulance Services - additional support</t>
  </si>
  <si>
    <t>Integrated Therapies Pilot for 18-25 Year Olds</t>
  </si>
  <si>
    <t>Improving Mental Health Services for Children in Canterbury and Kaikōura</t>
  </si>
  <si>
    <t>Very Low Cost General Practitioner Visits for Community Services Card Holders</t>
  </si>
  <si>
    <t>Extending Zero Fees Doctors' Visits to Under 14s</t>
  </si>
  <si>
    <t>Move between years</t>
  </si>
  <si>
    <t>Radio Assurance (in Budget 2018 for 2018/19; transferred to 2019/20)</t>
  </si>
  <si>
    <t>Planned Care, Organ Donation and Mobility Action Programmes transferred from 2018/19 to 2019/20</t>
  </si>
  <si>
    <t>National Planned Care Services</t>
  </si>
  <si>
    <t>Problem Gambling Services - Continued Support (Budget 2016) transferred from 2018/19 to 2019/20</t>
  </si>
  <si>
    <t>National Bowel Screening Programme transferred from 2018/19 to 2019/20</t>
  </si>
  <si>
    <t>Fluoridation Subsidies Scheme  transferred from 2018/19 to 2019/20</t>
  </si>
  <si>
    <t>Construction project for integrated health and social services facilities at the Auckland City Mission</t>
  </si>
  <si>
    <t>"Savings due to efficiencies with the transfer of responsibilities for hospital medicines purchasing to PHARMAC as part of their Combined Pharmaceutical Budget." (from Budget 2018)</t>
  </si>
  <si>
    <t>Devolution from</t>
  </si>
  <si>
    <t>Budget 2015 initiative Palliative Care Innovations; and</t>
  </si>
  <si>
    <t>National Intestinal Failure Service</t>
  </si>
  <si>
    <t>Budget 2018 initiative Extending Zero Fees Doctors' Visits to Under 14s</t>
  </si>
  <si>
    <t>(also in Supplementary Estimates - $991,000)</t>
  </si>
  <si>
    <t>DHBs to Primary Health Care Strategy</t>
  </si>
  <si>
    <t>Very Low Cost General Practitioner Visits for Community Service Card Holders</t>
  </si>
  <si>
    <t>National Personal Health Services to DHBs</t>
  </si>
  <si>
    <t>Budget 2012 Cancer Control initi</t>
  </si>
  <si>
    <t>New appropriation</t>
  </si>
  <si>
    <t>Relief for</t>
  </si>
  <si>
    <t>Reprioritisation of funding from other Vote Health appropriations</t>
  </si>
  <si>
    <t>See Supplementary Estimates p411</t>
  </si>
  <si>
    <t>Disability Support Services - Maintaining Health Services for Disabled New Zealanders - Budget 2019</t>
  </si>
  <si>
    <t>Equity Support for DHB deficits</t>
  </si>
  <si>
    <t>Increased by $95 million to $234.211 million</t>
  </si>
  <si>
    <t xml:space="preserve">Intensive Parenting Support - Expanding the Pregnancy and Parenting Service </t>
  </si>
  <si>
    <t>Support for Christchurch - Continued Funding for Primary Care and Community-Based Mental Health Workers</t>
  </si>
  <si>
    <t>Supporting wellbeing in Schools and Early Learning through Healthy Eating and Quality Physical Activity</t>
  </si>
  <si>
    <t xml:space="preserve">Planned Care, including Elective Surgery - Increasing the Number of Interventions </t>
  </si>
  <si>
    <t>Māori Health Workforce Development Package - Pathways to Ongoing Employment</t>
  </si>
  <si>
    <t>Increasing number of Māori health providers to Improve Māori health outcomes</t>
  </si>
  <si>
    <t>$m</t>
  </si>
  <si>
    <t>Cost of DHB MECA settlements</t>
  </si>
  <si>
    <t>According to TAS, cover all workers (not only union members) and assume static staff numbers</t>
  </si>
  <si>
    <t>Settlements</t>
  </si>
  <si>
    <t>MECA</t>
  </si>
  <si>
    <t>2018/19 ($ million)</t>
  </si>
  <si>
    <t>2019/20 ($ million)</t>
  </si>
  <si>
    <t>Medical staff</t>
  </si>
  <si>
    <t>NZNO</t>
  </si>
  <si>
    <t>Nursing staff</t>
  </si>
  <si>
    <t>PSA Nurses (rest of NZ)</t>
  </si>
  <si>
    <t>PSA covers 3500 mental health, public health nurses and support workers</t>
  </si>
  <si>
    <t>Allied staff</t>
  </si>
  <si>
    <t>PSA Nurses (Auckland)</t>
  </si>
  <si>
    <t>Other staff</t>
  </si>
  <si>
    <t>PSA Allied (rest of NZ)</t>
  </si>
  <si>
    <t>PSA covers 9000 Allied Health staff</t>
  </si>
  <si>
    <t>PSA Allied (Auckland)</t>
  </si>
  <si>
    <t>APEX - Allied (est)</t>
  </si>
  <si>
    <t>Estimate as % of PSA Allied Staff at 2,300 members</t>
  </si>
  <si>
    <t>MERAS</t>
  </si>
  <si>
    <t>E tu</t>
  </si>
  <si>
    <t>PSA Clerical - LNI</t>
  </si>
  <si>
    <t>PSA Clerical - Northern</t>
  </si>
  <si>
    <t>PSA Clerical - Midland (est)</t>
  </si>
  <si>
    <t>PSA Clerical - Southern (est)</t>
  </si>
  <si>
    <t>RDA/STONZ - RMOs (est)</t>
  </si>
  <si>
    <t>ASMS</t>
  </si>
  <si>
    <t>*</t>
  </si>
  <si>
    <t>*Data provided for part year costs from 1 July 2019 to 31 March 2020 = 75.3m. Estimated cost for the full year is based on a 2% (forecast inflation) salary adjustment for the final quarter.</t>
  </si>
  <si>
    <t>$404.034m = 6.5% over 2017/18 total personnel costs of $6,186.9m</t>
  </si>
  <si>
    <t>Additional 500 Nurses+staffing for CCDM</t>
  </si>
  <si>
    <t>DHB salaries ($m)</t>
  </si>
  <si>
    <t>Nurses</t>
  </si>
  <si>
    <t>Demog growth</t>
  </si>
  <si>
    <t>2018 to 2019</t>
  </si>
  <si>
    <t>Base</t>
  </si>
  <si>
    <t>Increases</t>
  </si>
  <si>
    <t>Percentage</t>
  </si>
  <si>
    <t>Of which, lump sum</t>
  </si>
  <si>
    <t>Increase without lump sum</t>
  </si>
  <si>
    <t>End of year (no staff increases)</t>
  </si>
  <si>
    <t>Less lump sums</t>
  </si>
  <si>
    <t>Plus demog growth</t>
  </si>
  <si>
    <t>Base plus demog growth</t>
  </si>
  <si>
    <t>2019 to 2020</t>
  </si>
  <si>
    <t>Est</t>
  </si>
  <si>
    <t>Estimate based on proportion of Budget 2018 DHB vote for 2018/19</t>
  </si>
  <si>
    <t>Note however that if DHBs retain their March 2019 FTEs and cost of FTEs, their 2018/19 staffing costs will be:</t>
  </si>
  <si>
    <t>Calculation from June 2018 base including demog adjustments</t>
  </si>
  <si>
    <t>Calculation as in pre-Budget analysis</t>
  </si>
  <si>
    <t>Correction for double-counting:</t>
  </si>
  <si>
    <t>Increase 2019-20 only</t>
  </si>
  <si>
    <t>RMOs</t>
  </si>
  <si>
    <t>Average salary</t>
  </si>
  <si>
    <t>Estmated No. (Dec 2018)</t>
  </si>
  <si>
    <t>Total pre-MECA 
salary costs 18/19</t>
  </si>
  <si>
    <t>STONZ MECA 
cost 18/19</t>
  </si>
  <si>
    <t>RDA Meca 
cost 18/19</t>
  </si>
  <si>
    <t>Total Meca costs
18/19</t>
  </si>
  <si>
    <t>Of which, lump sums are</t>
  </si>
  <si>
    <t>Ongoing</t>
  </si>
  <si>
    <t>House Officers</t>
  </si>
  <si>
    <t>Assumes no HOs are STONZ members</t>
  </si>
  <si>
    <t>Registrars</t>
  </si>
  <si>
    <t>Est 100 of these are STONZ members</t>
  </si>
  <si>
    <t>STONZ MECA 
cost 19/20</t>
  </si>
  <si>
    <t>RDA Meca 
cost 19/20</t>
  </si>
  <si>
    <t>Total Meca costs
19/20</t>
  </si>
  <si>
    <t>Assumes: (a) Monetary offer to RDA is accepted, as this does not appear to be in contention. It does not take into account any additional staff required for safe rostering. (b) The RDA Meca takes affect from 1 April 2019. RDA one-off lump-sum payments are included in 2018/19 budgets.</t>
  </si>
  <si>
    <t>PSA Clerical salary costs (2016) $m</t>
  </si>
  <si>
    <t>Total 2016 Salary cost ($m)</t>
  </si>
  <si>
    <t>Proportions</t>
  </si>
  <si>
    <t>Cost of 
MECA 18/19</t>
  </si>
  <si>
    <t>Cost of 
MECA 19/20</t>
  </si>
  <si>
    <t>Northern</t>
  </si>
  <si>
    <t>Effective 1 April 2018</t>
  </si>
  <si>
    <t>Lower North Is</t>
  </si>
  <si>
    <t>Effective 2 June 2018</t>
  </si>
  <si>
    <t>Midland</t>
  </si>
  <si>
    <t>est</t>
  </si>
  <si>
    <t>Effective 1 March 2019</t>
  </si>
  <si>
    <t>South Is</t>
  </si>
  <si>
    <t>Effective I February 2019</t>
  </si>
  <si>
    <t>Note: Costs for the Northern and Lower NI in 2018/19 = $13.3m for the full year (av $1.1m/mth)</t>
  </si>
  <si>
    <t>Note: Costs for the Northern and Lower NI in 2019/20 = $17.9m for the full year (av $1.5m/mth)</t>
  </si>
  <si>
    <t>Midland and SI estimates are based on monthly costs of the 2 other regions x 50% to reflect proportions. Estimates assume the 2nd pay increase will occur 1 year after the commencement of the MECA.</t>
  </si>
  <si>
    <t>Mental health ringfenced funding</t>
  </si>
  <si>
    <t>Ringfenced funding 2018/19</t>
  </si>
  <si>
    <t>Ringfenced funding 2019/20</t>
  </si>
  <si>
    <t xml:space="preserve">Ringfenced funding provided </t>
  </si>
  <si>
    <t>Required:</t>
  </si>
  <si>
    <t>Wage/Salary costs</t>
  </si>
  <si>
    <t>Non-wage/salary costs</t>
  </si>
  <si>
    <t>Population increase</t>
  </si>
  <si>
    <t xml:space="preserve">                                          </t>
  </si>
  <si>
    <t>Total required</t>
  </si>
  <si>
    <t>From Summary of Initiatives, p.29ff</t>
  </si>
  <si>
    <t>Table 5 – Summary of Taking mental health seriously operating funding</t>
  </si>
  <si>
    <t>Total over forecast period</t>
  </si>
  <si>
    <t>Average</t>
  </si>
  <si>
    <t>Investing in social determinants of mental health</t>
  </si>
  <si>
    <t>Mental health - a new frontline service</t>
  </si>
  <si>
    <t>Strengthening existing mental health services</t>
  </si>
  <si>
    <t>Supporting mental health within the justice sector</t>
  </si>
  <si>
    <t>Supporting mental wellbeing</t>
  </si>
  <si>
    <t>Treating drug and alcohol addiction</t>
  </si>
  <si>
    <r>
      <t xml:space="preserve">Total operating for </t>
    </r>
    <r>
      <rPr>
        <b/>
        <i/>
        <sz val="9"/>
        <color indexed="8"/>
        <rFont val="Arial"/>
        <family val="1"/>
        <charset val="204"/>
      </rPr>
      <t>Taking mental health seriously</t>
    </r>
  </si>
  <si>
    <t>Table 6 – Summary of Taking mental health seriously capital funding</t>
  </si>
  <si>
    <t>Subsequent
years</t>
  </si>
  <si>
    <t>Total capital</t>
  </si>
  <si>
    <r>
      <t xml:space="preserve">Total capital for </t>
    </r>
    <r>
      <rPr>
        <b/>
        <i/>
        <sz val="9"/>
        <color indexed="8"/>
        <rFont val="Arial"/>
        <family val="1"/>
        <charset val="204"/>
      </rPr>
      <t>Taking mental health seriously</t>
    </r>
  </si>
  <si>
    <t>Mental health – a new frontline service</t>
  </si>
  <si>
    <t>Intensive Parenting Support: Expanding the Pregnancy and Parenting Service to Improve the Wellbeing Outcomes of Parents and Their Children</t>
  </si>
  <si>
    <t>New Mental Health and Wellbeing Commission</t>
  </si>
  <si>
    <t>Total - Mental health – a new frontline service</t>
  </si>
  <si>
    <t>Corrections</t>
  </si>
  <si>
    <t>Total - Treating drug and alcohol addiction</t>
  </si>
  <si>
    <t>Alcohol and Other Drug Treatment Court: Operational Support 2019/20</t>
  </si>
  <si>
    <t>Courts</t>
  </si>
  <si>
    <t>Justice</t>
  </si>
  <si>
    <t>Police</t>
  </si>
  <si>
    <t>Increasing Access to Mental Health and Addiction Support</t>
  </si>
  <si>
    <t>Support for Victims: Ensuring Safe and Effective Justice and Improved Mental Health Outcomes</t>
  </si>
  <si>
    <t>Te Ara Oranga: Continuing the Methamphetamine Harm Reduction Programme in Northland</t>
  </si>
  <si>
    <t>Total - Supporting mental health within the justice sector</t>
  </si>
  <si>
    <t>Support for Christchurch: Continuation of Funding for Primary Care and Community-Based Mental Health Workers</t>
  </si>
  <si>
    <t>Total - Strengthening existing mental health services</t>
  </si>
  <si>
    <t>Disabled People and People with Health Conditions: Improving Employment and Wider Wellbeing Outcomes</t>
  </si>
  <si>
    <t>Social Development</t>
  </si>
  <si>
    <t>Housing Support Products: Expansion to Help More People Access and Maintain Tenancies</t>
  </si>
  <si>
    <t>Maintaining and Strengthening the Housing First Programme as a Response to Ending Homelessness</t>
  </si>
  <si>
    <t>Housing and Urban Development</t>
  </si>
  <si>
    <t>Promoting and Supporting the Health and Wellbeing of Veterans and their Families</t>
  </si>
  <si>
    <t>Defence Force</t>
  </si>
  <si>
    <t>Transitional Housing: Funding for the Continued Provision of Transitional Housing to Support Those in Need</t>
  </si>
  <si>
    <t>Not yet appropriated</t>
  </si>
  <si>
    <t>Oranga Tamariki</t>
  </si>
  <si>
    <t>State Services</t>
  </si>
  <si>
    <t>Education</t>
  </si>
  <si>
    <t>Internal Affairs</t>
  </si>
  <si>
    <t>Establishment of the Royal Commission into Historical Abuse in State Care and in the Care of Faith-Based Institutions</t>
  </si>
  <si>
    <t>Historical Abuse While in State Care: Resolving Claims</t>
  </si>
  <si>
    <t>Sensitive Claims of Abuse: Funding to Resolve and Acknowledge Historic Abuse in the Schooling System</t>
  </si>
  <si>
    <t>Total - Supporting mental wellbeing</t>
  </si>
  <si>
    <t xml:space="preserve">Total - Taking mental health seriously </t>
  </si>
  <si>
    <t>Vote Health proportion</t>
  </si>
  <si>
    <t>Mental Health initiatives ($000)</t>
  </si>
  <si>
    <t>Capital</t>
  </si>
  <si>
    <t>Vote Health</t>
  </si>
  <si>
    <t>Other Votes</t>
  </si>
  <si>
    <t>Estimated settlements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</si>
</sst>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6" formatCode="&quot;$&quot;#,##0;[Red]\-&quot;$&quot;#,##0"/>
    <numFmt numFmtId="41" formatCode="_-* #,##0_-;\-* #,##0_-;_-* &quot;-&quot;_-;_-@_-"/>
    <numFmt numFmtId="44" formatCode="_-&quot;$&quot;* #,##0.00_-;\-&quot;$&quot;* #,##0.00_-;_-&quot;$&quot;* &quot;-&quot;??_-;_-@_-"/>
    <numFmt numFmtId="43" formatCode="_-* #,##0.00_-;\-* #,##0.00_-;_-* &quot;-&quot;??_-;_-@_-"/>
    <numFmt numFmtId="164" formatCode="_-* #,##0_-;\-* #,##0_-;_-* &quot;-&quot;??_-;_-@_-"/>
    <numFmt numFmtId="165" formatCode="0.0%"/>
    <numFmt numFmtId="166" formatCode="#,##0_ ;\-#,##0\ "/>
    <numFmt numFmtId="167" formatCode="_-* #,##0.000_-;\-* #,##0.000_-;_-* &quot;-&quot;??_-;_-@_-"/>
    <numFmt numFmtId="168" formatCode="#,##0_);\(#,##0\);\-\ \ "/>
    <numFmt numFmtId="169" formatCode="#,##0;#,##0"/>
    <numFmt numFmtId="170" formatCode="###0;###0"/>
    <numFmt numFmtId="171" formatCode="0.000"/>
    <numFmt numFmtId="172" formatCode="0.0000000"/>
    <numFmt numFmtId="173" formatCode="#,##0.000;#,##0.000"/>
    <numFmt numFmtId="174" formatCode="_-* #,##0.000000_-;\-* #,##0.000000_-;_-* &quot;-&quot;??_-;_-@_-"/>
    <numFmt numFmtId="175" formatCode="#,##0;[Red]\(#,##0\)"/>
    <numFmt numFmtId="176" formatCode="#,##0\ ;\(#,##0\)"/>
    <numFmt numFmtId="177" formatCode="#,##0\ ;[Red]\(#,##0\)"/>
    <numFmt numFmtId="178" formatCode="0.0000%"/>
    <numFmt numFmtId="179" formatCode="0.000%"/>
    <numFmt numFmtId="180" formatCode="mmm\-yy&quot; $&quot;"/>
    <numFmt numFmtId="181" formatCode="mmm\-yyyy"/>
    <numFmt numFmtId="182" formatCode="0.0;\-0.0;0.0;@"/>
    <numFmt numFmtId="183" formatCode="0.0"/>
    <numFmt numFmtId="184" formatCode="_-* #,##0.0000_-;\-* #,##0.0000_-;_-* &quot;-&quot;??_-;_-@_-"/>
    <numFmt numFmtId="185" formatCode="_-&quot;$&quot;* #,##0_-;\-&quot;$&quot;* #,##0_-;_-&quot;$&quot;* &quot;-&quot;??_-;_-@_-"/>
    <numFmt numFmtId="186" formatCode="&quot;as proportion of operating allowance of&quot;\ &quot;$&quot;0.0&quot;b&quot;"/>
    <numFmt numFmtId="187" formatCode="#,##0.000"/>
    <numFmt numFmtId="188" formatCode="[Red]#,##0;\-#,##0"/>
    <numFmt numFmtId="189" formatCode="_(* #,##0_);_(* \(#,##0\);_(* &quot;-&quot;??_);_(@_)"/>
    <numFmt numFmtId="190" formatCode="#,##0_);\(#,##0\)"/>
    <numFmt numFmtId="194" formatCode="#,##0&quot; &quot;;&quot;-&quot;#,##0&quot; &quot;"/>
  </numFmts>
  <fonts count="8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sz val="11"/>
      <name val="Calibri"/>
      <family val="2"/>
      <scheme val="minor"/>
    </font>
    <font>
      <b/>
      <sz val="11"/>
      <color rgb="FFFF0000"/>
      <name val="Calibri"/>
      <family val="2"/>
      <scheme val="minor"/>
    </font>
    <font>
      <sz val="11"/>
      <name val="Calibri"/>
      <family val="2"/>
      <scheme val="minor"/>
    </font>
    <font>
      <sz val="10"/>
      <name val="Times New Roman"/>
      <family val="1"/>
      <charset val="204"/>
    </font>
    <font>
      <i/>
      <sz val="11"/>
      <color theme="1"/>
      <name val="Calibri"/>
      <family val="2"/>
      <scheme val="minor"/>
    </font>
    <font>
      <b/>
      <sz val="9"/>
      <color indexed="81"/>
      <name val="Tahoma"/>
      <family val="2"/>
    </font>
    <font>
      <sz val="9"/>
      <color indexed="81"/>
      <name val="Tahoma"/>
      <family val="2"/>
    </font>
    <font>
      <sz val="11"/>
      <color theme="1"/>
      <name val="Arial"/>
      <family val="2"/>
    </font>
    <font>
      <sz val="9"/>
      <color theme="1"/>
      <name val="Arial"/>
      <family val="2"/>
    </font>
    <font>
      <sz val="7"/>
      <color indexed="8"/>
      <name val="Arial"/>
      <family val="2"/>
    </font>
    <font>
      <b/>
      <sz val="6"/>
      <color indexed="8"/>
      <name val="Arial"/>
      <family val="1"/>
      <charset val="204"/>
    </font>
    <font>
      <sz val="6"/>
      <color indexed="8"/>
      <name val="Arial"/>
      <family val="1"/>
      <charset val="204"/>
    </font>
    <font>
      <sz val="6"/>
      <color indexed="8"/>
      <name val="Arial"/>
      <family val="2"/>
    </font>
    <font>
      <b/>
      <sz val="6"/>
      <color indexed="8"/>
      <name val="Arial"/>
      <family val="2"/>
    </font>
    <font>
      <sz val="9"/>
      <color indexed="8"/>
      <name val="Arial"/>
      <family val="2"/>
    </font>
    <font>
      <sz val="10"/>
      <color indexed="8"/>
      <name val="Arial Narrow"/>
      <family val="1"/>
      <charset val="204"/>
    </font>
    <font>
      <sz val="10"/>
      <color indexed="8"/>
      <name val="Arial"/>
      <family val="2"/>
    </font>
    <font>
      <sz val="10"/>
      <name val="Arial"/>
      <family val="2"/>
    </font>
    <font>
      <sz val="11"/>
      <color rgb="FF0070C0"/>
      <name val="Calibri"/>
      <family val="2"/>
      <scheme val="minor"/>
    </font>
    <font>
      <sz val="9"/>
      <color theme="1"/>
      <name val="Calibri"/>
      <family val="2"/>
      <scheme val="minor"/>
    </font>
    <font>
      <sz val="10"/>
      <color theme="1"/>
      <name val="Arial"/>
      <family val="2"/>
    </font>
    <font>
      <sz val="10"/>
      <color theme="1"/>
      <name val="Arial Mäori"/>
      <family val="2"/>
    </font>
    <font>
      <sz val="10"/>
      <color indexed="8"/>
      <name val="Calibri"/>
      <family val="2"/>
    </font>
    <font>
      <b/>
      <sz val="10"/>
      <color theme="1"/>
      <name val="Arial"/>
      <family val="2"/>
    </font>
    <font>
      <b/>
      <sz val="10"/>
      <name val="Arial"/>
      <family val="2"/>
    </font>
    <font>
      <sz val="10"/>
      <color rgb="FFFF0000"/>
      <name val="Arial"/>
      <family val="2"/>
    </font>
    <font>
      <sz val="9"/>
      <name val="Arial"/>
      <family val="2"/>
    </font>
    <font>
      <sz val="8"/>
      <color indexed="63"/>
      <name val="Arial"/>
      <family val="2"/>
    </font>
    <font>
      <b/>
      <sz val="12"/>
      <name val="Arial"/>
      <family val="2"/>
    </font>
    <font>
      <u/>
      <sz val="11"/>
      <color theme="10"/>
      <name val="Calibri"/>
      <family val="2"/>
      <scheme val="minor"/>
    </font>
    <font>
      <b/>
      <sz val="18"/>
      <color theme="1"/>
      <name val="Calibri"/>
      <family val="2"/>
      <scheme val="minor"/>
    </font>
    <font>
      <sz val="8"/>
      <name val="Arial"/>
      <family val="2"/>
    </font>
    <font>
      <sz val="8"/>
      <color theme="1"/>
      <name val="Arial"/>
      <family val="2"/>
    </font>
    <font>
      <b/>
      <sz val="10"/>
      <color theme="1"/>
      <name val="Calibri"/>
      <family val="2"/>
      <scheme val="minor"/>
    </font>
    <font>
      <b/>
      <i/>
      <sz val="10"/>
      <color theme="1"/>
      <name val="Calibri"/>
      <family val="2"/>
      <scheme val="minor"/>
    </font>
    <font>
      <u/>
      <sz val="11"/>
      <color theme="10"/>
      <name val="Calibri"/>
      <family val="2"/>
    </font>
    <font>
      <sz val="8"/>
      <color indexed="81"/>
      <name val="Tahoma"/>
      <family val="2"/>
    </font>
    <font>
      <sz val="11"/>
      <color indexed="81"/>
      <name val="Tahoma"/>
      <family val="2"/>
    </font>
    <font>
      <b/>
      <sz val="8"/>
      <color indexed="81"/>
      <name val="Tahoma"/>
      <family val="2"/>
    </font>
    <font>
      <b/>
      <sz val="9"/>
      <color indexed="81"/>
      <name val="Tahoma"/>
      <charset val="1"/>
    </font>
    <font>
      <sz val="9"/>
      <color indexed="81"/>
      <name val="Tahoma"/>
      <charset val="1"/>
    </font>
    <font>
      <sz val="9"/>
      <color indexed="8"/>
      <name val="Arial Narrow"/>
      <family val="1"/>
      <charset val="204"/>
    </font>
    <font>
      <b/>
      <sz val="9"/>
      <color indexed="16"/>
      <name val="Arial Narrow"/>
      <family val="1"/>
      <charset val="204"/>
    </font>
    <font>
      <sz val="9"/>
      <color theme="1"/>
      <name val="Arial Narrow"/>
      <family val="2"/>
    </font>
    <font>
      <b/>
      <sz val="9"/>
      <color indexed="8"/>
      <name val="Arial Narrow"/>
      <family val="2"/>
    </font>
    <font>
      <sz val="9"/>
      <color indexed="8"/>
      <name val="Arial Narrow"/>
      <family val="2"/>
    </font>
    <font>
      <i/>
      <sz val="9"/>
      <color indexed="8"/>
      <name val="Arial Narrow"/>
      <family val="2"/>
    </font>
    <font>
      <i/>
      <sz val="9"/>
      <color indexed="8"/>
      <name val="Arial Narrow"/>
      <family val="1"/>
      <charset val="204"/>
    </font>
    <font>
      <b/>
      <i/>
      <sz val="9"/>
      <color indexed="23"/>
      <name val="Arial Narrow"/>
      <family val="1"/>
      <charset val="204"/>
    </font>
    <font>
      <b/>
      <sz val="10"/>
      <name val="Times New Roman"/>
      <family val="1"/>
      <charset val="204"/>
    </font>
    <font>
      <b/>
      <i/>
      <sz val="9"/>
      <color indexed="8"/>
      <name val="Arial"/>
      <family val="2"/>
    </font>
    <font>
      <b/>
      <sz val="9"/>
      <color indexed="16"/>
      <name val="Arial"/>
      <family val="2"/>
    </font>
    <font>
      <sz val="10"/>
      <name val="Calibri"/>
      <family val="2"/>
      <scheme val="minor"/>
    </font>
    <font>
      <i/>
      <sz val="10"/>
      <name val="Calibri"/>
      <family val="2"/>
      <scheme val="minor"/>
    </font>
    <font>
      <sz val="11"/>
      <color indexed="8"/>
      <name val="Calibri"/>
      <family val="2"/>
      <scheme val="minor"/>
    </font>
    <font>
      <sz val="9"/>
      <color indexed="8"/>
      <name val="Calibri"/>
      <family val="2"/>
      <scheme val="minor"/>
    </font>
    <font>
      <i/>
      <sz val="9"/>
      <color indexed="8"/>
      <name val="Calibri"/>
      <family val="2"/>
      <scheme val="minor"/>
    </font>
    <font>
      <sz val="9"/>
      <name val="Arial Narrow"/>
      <family val="2"/>
    </font>
    <font>
      <b/>
      <sz val="9"/>
      <name val="Arial Narrow"/>
      <family val="1"/>
      <charset val="204"/>
    </font>
    <font>
      <b/>
      <sz val="9"/>
      <color indexed="8"/>
      <name val="Calibri"/>
      <family val="2"/>
      <scheme val="minor"/>
    </font>
    <font>
      <b/>
      <sz val="9"/>
      <name val="Calibri"/>
      <family val="2"/>
      <scheme val="minor"/>
    </font>
    <font>
      <i/>
      <sz val="9"/>
      <name val="Arial Narrow"/>
      <family val="1"/>
      <charset val="204"/>
    </font>
    <font>
      <b/>
      <sz val="11"/>
      <color theme="1"/>
      <name val="Arial Narrow"/>
      <family val="2"/>
    </font>
    <font>
      <b/>
      <sz val="10"/>
      <color indexed="16"/>
      <name val="Calibri"/>
      <family val="2"/>
      <scheme val="minor"/>
    </font>
    <font>
      <sz val="10"/>
      <color indexed="8"/>
      <name val="Calibri"/>
      <family val="2"/>
      <scheme val="minor"/>
    </font>
    <font>
      <b/>
      <i/>
      <sz val="11"/>
      <color indexed="8"/>
      <name val="Arial"/>
      <family val="2"/>
    </font>
    <font>
      <b/>
      <sz val="8"/>
      <color indexed="8"/>
      <name val="Arial"/>
      <family val="2"/>
    </font>
    <font>
      <sz val="8"/>
      <color indexed="8"/>
      <name val="Arial"/>
      <family val="2"/>
    </font>
    <font>
      <b/>
      <sz val="8"/>
      <color indexed="8"/>
      <name val="Arial"/>
      <family val="1"/>
      <charset val="204"/>
    </font>
    <font>
      <b/>
      <i/>
      <sz val="9"/>
      <color indexed="8"/>
      <name val="Arial"/>
      <family val="1"/>
      <charset val="204"/>
    </font>
    <font>
      <b/>
      <sz val="8"/>
      <color indexed="8"/>
      <name val="Calibri"/>
      <family val="2"/>
    </font>
    <font>
      <b/>
      <sz val="10"/>
      <color rgb="FF800000"/>
      <name val="Calibri"/>
      <family val="2"/>
    </font>
    <font>
      <sz val="10"/>
      <color rgb="FF000000"/>
      <name val="Calibri"/>
      <family val="2"/>
    </font>
    <font>
      <b/>
      <sz val="11"/>
      <color rgb="FF000000"/>
      <name val="Calibri"/>
      <family val="2"/>
    </font>
  </fonts>
  <fills count="1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bgColor rgb="FF000000"/>
      </patternFill>
    </fill>
    <fill>
      <patternFill patternType="solid">
        <fgColor rgb="FFFFFF00"/>
        <bgColor rgb="FF000000"/>
      </patternFill>
    </fill>
    <fill>
      <patternFill patternType="solid">
        <fgColor rgb="FFFFFFFF"/>
        <bgColor rgb="FF000000"/>
      </patternFill>
    </fill>
    <fill>
      <patternFill patternType="solid">
        <fgColor theme="7" tint="0.59999389629810485"/>
        <bgColor rgb="FF000000"/>
      </patternFill>
    </fill>
    <fill>
      <patternFill patternType="solid">
        <fgColor theme="9"/>
        <bgColor indexed="64"/>
      </patternFill>
    </fill>
    <fill>
      <patternFill patternType="solid">
        <fgColor theme="2"/>
        <bgColor indexed="64"/>
      </patternFill>
    </fill>
    <fill>
      <patternFill patternType="solid">
        <fgColor indexed="42"/>
        <bgColor indexed="64"/>
      </patternFill>
    </fill>
    <fill>
      <patternFill patternType="solid">
        <fgColor theme="5" tint="0.79998168889431442"/>
        <bgColor indexed="64"/>
      </patternFill>
    </fill>
  </fills>
  <borders count="101">
    <border>
      <left/>
      <right/>
      <top/>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8"/>
      </left>
      <right/>
      <top/>
      <bottom/>
      <diagonal/>
    </border>
    <border>
      <left style="thin">
        <color indexed="65"/>
      </left>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8"/>
      </left>
      <right/>
      <top style="thin">
        <color indexed="65"/>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65"/>
      </top>
      <bottom/>
      <diagonal/>
    </border>
    <border>
      <left/>
      <right/>
      <top style="thin">
        <color rgb="FFABABAB"/>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style="thin">
        <color indexed="64"/>
      </right>
      <top style="thin">
        <color indexed="8"/>
      </top>
      <bottom/>
      <diagonal/>
    </border>
    <border>
      <left/>
      <right style="thin">
        <color indexed="8"/>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right/>
      <top style="thin">
        <color indexed="64"/>
      </top>
      <bottom style="double">
        <color indexed="64"/>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BC2026"/>
      </top>
      <bottom style="thin">
        <color rgb="FFBC2026"/>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right style="thin">
        <color rgb="FFABABAB"/>
      </right>
      <top/>
      <bottom/>
      <diagonal/>
    </border>
    <border>
      <left/>
      <right style="thin">
        <color rgb="FFABABAB"/>
      </right>
      <top/>
      <bottom style="thin">
        <color indexed="64"/>
      </bottom>
      <diagonal/>
    </border>
    <border>
      <left style="thin">
        <color rgb="FFFF0000"/>
      </left>
      <right/>
      <top/>
      <bottom style="thin">
        <color rgb="FFFF0000"/>
      </bottom>
      <diagonal/>
    </border>
    <border>
      <left/>
      <right/>
      <top/>
      <bottom style="thin">
        <color rgb="FFFF0000"/>
      </bottom>
      <diagonal/>
    </border>
    <border>
      <left/>
      <right style="thin">
        <color rgb="FFABABAB"/>
      </right>
      <top style="thin">
        <color rgb="FFABABAB"/>
      </top>
      <bottom/>
      <diagonal/>
    </border>
    <border>
      <left/>
      <right style="thin">
        <color rgb="FF003399"/>
      </right>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right style="thin">
        <color rgb="FF808080"/>
      </right>
      <top/>
      <bottom style="thin">
        <color rgb="FF808080"/>
      </bottom>
      <diagonal/>
    </border>
    <border>
      <left/>
      <right/>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rgb="FF003399"/>
      </left>
      <right/>
      <top/>
      <bottom/>
      <diagonal/>
    </border>
    <border>
      <left/>
      <right style="thin">
        <color rgb="FF003399"/>
      </right>
      <top/>
      <bottom style="thin">
        <color rgb="FF003399"/>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style="thin">
        <color rgb="FF808080"/>
      </left>
      <right style="thin">
        <color indexed="64"/>
      </right>
      <top style="thin">
        <color rgb="FF808080"/>
      </top>
      <bottom style="thin">
        <color rgb="FF808080"/>
      </bottom>
      <diagonal/>
    </border>
    <border>
      <left/>
      <right/>
      <top style="thin">
        <color rgb="FF003399"/>
      </top>
      <bottom/>
      <diagonal/>
    </border>
    <border>
      <left style="thin">
        <color rgb="FF808080"/>
      </left>
      <right/>
      <top/>
      <bottom/>
      <diagonal/>
    </border>
    <border>
      <left/>
      <right style="thin">
        <color rgb="FF808080"/>
      </right>
      <top style="thin">
        <color rgb="FF808080"/>
      </top>
      <bottom/>
      <diagonal/>
    </border>
    <border>
      <left/>
      <right style="thin">
        <color rgb="FF808080"/>
      </right>
      <top/>
      <bottom/>
      <diagonal/>
    </border>
    <border>
      <left style="thin">
        <color rgb="FF808080"/>
      </left>
      <right style="thin">
        <color indexed="64"/>
      </right>
      <top style="thin">
        <color rgb="FF808080"/>
      </top>
      <bottom/>
      <diagonal/>
    </border>
    <border>
      <left style="thin">
        <color rgb="FF808080"/>
      </left>
      <right style="thin">
        <color indexed="64"/>
      </right>
      <top/>
      <bottom style="thin">
        <color rgb="FF808080"/>
      </bottom>
      <diagonal/>
    </border>
    <border>
      <left/>
      <right/>
      <top/>
      <bottom style="thin">
        <color rgb="FF003399"/>
      </bottom>
      <diagonal/>
    </border>
    <border>
      <left/>
      <right/>
      <top style="thin">
        <color rgb="FF003399"/>
      </top>
      <bottom style="thin">
        <color rgb="FF003399"/>
      </bottom>
      <diagonal/>
    </border>
    <border>
      <left/>
      <right/>
      <top/>
      <bottom style="thin">
        <color rgb="FF0070C0"/>
      </bottom>
      <diagonal/>
    </border>
    <border>
      <left/>
      <right/>
      <top style="thin">
        <color rgb="FF808080"/>
      </top>
      <bottom/>
      <diagonal/>
    </border>
    <border>
      <left/>
      <right style="thin">
        <color rgb="FF800000"/>
      </right>
      <top/>
      <bottom/>
      <diagonal/>
    </border>
    <border>
      <left style="thin">
        <color rgb="FF800000"/>
      </left>
      <right/>
      <top style="thin">
        <color rgb="FF800000"/>
      </top>
      <bottom style="thin">
        <color rgb="FF800000"/>
      </bottom>
      <diagonal/>
    </border>
    <border>
      <left/>
      <right/>
      <top style="thin">
        <color rgb="FF800000"/>
      </top>
      <bottom style="thin">
        <color rgb="FF800000"/>
      </bottom>
      <diagonal/>
    </border>
    <border>
      <left/>
      <right style="thin">
        <color rgb="FF800000"/>
      </right>
      <top style="thin">
        <color rgb="FF800000"/>
      </top>
      <bottom style="thin">
        <color rgb="FF800000"/>
      </bottom>
      <diagonal/>
    </border>
    <border>
      <left/>
      <right style="thin">
        <color rgb="FF800000"/>
      </right>
      <top/>
      <bottom style="thin">
        <color rgb="FF800000"/>
      </bottom>
      <diagonal/>
    </border>
    <border>
      <left style="thin">
        <color rgb="FF800000"/>
      </left>
      <right style="thin">
        <color rgb="FF000000"/>
      </right>
      <top style="thin">
        <color rgb="FF800000"/>
      </top>
      <bottom style="thin">
        <color rgb="FF800000"/>
      </bottom>
      <diagonal/>
    </border>
    <border>
      <left style="thin">
        <color rgb="FF000000"/>
      </left>
      <right style="thin">
        <color rgb="FF800000"/>
      </right>
      <top style="thin">
        <color rgb="FF800000"/>
      </top>
      <bottom style="thin">
        <color rgb="FF800000"/>
      </bottom>
      <diagonal/>
    </border>
    <border>
      <left style="thin">
        <color rgb="FF800000"/>
      </left>
      <right style="thin">
        <color rgb="FF800000"/>
      </right>
      <top style="thin">
        <color rgb="FF800000"/>
      </top>
      <bottom/>
      <diagonal/>
    </border>
    <border>
      <left style="thin">
        <color rgb="FF800000"/>
      </left>
      <right/>
      <top style="thin">
        <color rgb="FF800000"/>
      </top>
      <bottom/>
      <diagonal/>
    </border>
    <border>
      <left/>
      <right/>
      <top style="thin">
        <color rgb="FF800000"/>
      </top>
      <bottom/>
      <diagonal/>
    </border>
    <border>
      <left/>
      <right style="thin">
        <color rgb="FF800000"/>
      </right>
      <top style="thin">
        <color rgb="FF800000"/>
      </top>
      <bottom/>
      <diagonal/>
    </border>
    <border>
      <left style="thin">
        <color rgb="FF800000"/>
      </left>
      <right style="thin">
        <color rgb="FF800000"/>
      </right>
      <top/>
      <bottom/>
      <diagonal/>
    </border>
    <border>
      <left style="thin">
        <color rgb="FF800000"/>
      </left>
      <right/>
      <top/>
      <bottom/>
      <diagonal/>
    </border>
    <border>
      <left style="thin">
        <color rgb="FF800000"/>
      </left>
      <right style="thin">
        <color rgb="FF800000"/>
      </right>
      <top/>
      <bottom style="thin">
        <color rgb="FF800000"/>
      </bottom>
      <diagonal/>
    </border>
    <border>
      <left style="thin">
        <color rgb="FF800000"/>
      </left>
      <right/>
      <top/>
      <bottom style="thin">
        <color rgb="FF800000"/>
      </bottom>
      <diagonal/>
    </border>
    <border>
      <left/>
      <right/>
      <top/>
      <bottom style="thin">
        <color rgb="FF800000"/>
      </bottom>
      <diagonal/>
    </border>
    <border>
      <left style="thin">
        <color rgb="FF800000"/>
      </left>
      <right style="thin">
        <color rgb="FF800000"/>
      </right>
      <top style="thin">
        <color rgb="FF800000"/>
      </top>
      <bottom style="thin">
        <color rgb="FF800000"/>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7" fillId="0" borderId="0"/>
    <xf numFmtId="0" fontId="35" fillId="0" borderId="0" applyNumberFormat="0" applyFill="0" applyBorder="0" applyAlignment="0" applyProtection="0"/>
    <xf numFmtId="0" fontId="41" fillId="0" borderId="0" applyNumberFormat="0" applyFill="0" applyBorder="0" applyAlignment="0" applyProtection="0">
      <alignment vertical="top"/>
      <protection locked="0"/>
    </xf>
  </cellStyleXfs>
  <cellXfs count="778">
    <xf numFmtId="0" fontId="0" fillId="0" borderId="0" xfId="0"/>
    <xf numFmtId="0" fontId="4" fillId="0" borderId="0" xfId="0" applyFont="1"/>
    <xf numFmtId="0" fontId="0" fillId="0" borderId="0" xfId="0" applyFont="1" applyAlignment="1">
      <alignment horizontal="left" wrapText="1"/>
    </xf>
    <xf numFmtId="0" fontId="0" fillId="0" borderId="0" xfId="0" applyFont="1" applyAlignment="1">
      <alignment horizontal="left" wrapText="1"/>
    </xf>
    <xf numFmtId="0" fontId="0" fillId="0" borderId="1" xfId="0" applyBorder="1"/>
    <xf numFmtId="0" fontId="5" fillId="0" borderId="0" xfId="0" applyFont="1" applyAlignment="1">
      <alignment horizontal="left" wrapText="1"/>
    </xf>
    <xf numFmtId="0" fontId="3" fillId="0" borderId="0" xfId="0" applyFont="1" applyBorder="1"/>
    <xf numFmtId="0" fontId="4" fillId="0" borderId="2" xfId="0" applyFont="1" applyBorder="1" applyAlignment="1">
      <alignment horizontal="center"/>
    </xf>
    <xf numFmtId="0" fontId="4" fillId="0" borderId="3" xfId="0" applyFont="1" applyBorder="1" applyAlignment="1">
      <alignment horizontal="center"/>
    </xf>
    <xf numFmtId="0" fontId="0" fillId="0" borderId="0"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NumberFormat="1" applyFill="1" applyBorder="1"/>
    <xf numFmtId="0" fontId="0" fillId="0" borderId="14" xfId="0" applyNumberFormat="1" applyFill="1" applyBorder="1"/>
    <xf numFmtId="0" fontId="0" fillId="0" borderId="8" xfId="0" applyNumberFormat="1" applyFill="1" applyBorder="1"/>
    <xf numFmtId="0" fontId="0" fillId="0" borderId="15" xfId="0" applyNumberFormat="1" applyFill="1" applyBorder="1"/>
    <xf numFmtId="0" fontId="0" fillId="0" borderId="0" xfId="0" applyNumberFormat="1" applyBorder="1"/>
    <xf numFmtId="0" fontId="0" fillId="0" borderId="16" xfId="0" applyBorder="1"/>
    <xf numFmtId="0" fontId="0" fillId="0" borderId="17" xfId="0" applyNumberFormat="1" applyFill="1" applyBorder="1"/>
    <xf numFmtId="0" fontId="0" fillId="0" borderId="0" xfId="0" applyNumberFormat="1" applyFill="1" applyBorder="1"/>
    <xf numFmtId="0" fontId="3" fillId="0" borderId="0" xfId="0" applyNumberFormat="1" applyFont="1" applyFill="1" applyBorder="1"/>
    <xf numFmtId="0" fontId="0" fillId="0" borderId="0" xfId="0" applyNumberFormat="1" applyFont="1" applyFill="1" applyBorder="1"/>
    <xf numFmtId="0" fontId="0" fillId="0" borderId="2" xfId="0" applyNumberFormat="1" applyFill="1" applyBorder="1"/>
    <xf numFmtId="0" fontId="0" fillId="0" borderId="3" xfId="0" applyNumberFormat="1" applyFill="1" applyBorder="1"/>
    <xf numFmtId="0" fontId="0" fillId="0" borderId="18" xfId="0" applyNumberFormat="1" applyFill="1" applyBorder="1"/>
    <xf numFmtId="0" fontId="3" fillId="0" borderId="4" xfId="0" applyFont="1" applyBorder="1"/>
    <xf numFmtId="0" fontId="3" fillId="0" borderId="5" xfId="0" applyFont="1" applyBorder="1"/>
    <xf numFmtId="0" fontId="3" fillId="0" borderId="0" xfId="0" applyNumberFormat="1" applyFont="1" applyBorder="1"/>
    <xf numFmtId="0" fontId="3" fillId="0" borderId="19" xfId="0" applyNumberFormat="1" applyFont="1" applyBorder="1"/>
    <xf numFmtId="0" fontId="3" fillId="0" borderId="20" xfId="0" applyNumberFormat="1" applyFont="1" applyBorder="1"/>
    <xf numFmtId="0" fontId="3" fillId="0" borderId="21" xfId="0" applyNumberFormat="1" applyFont="1" applyBorder="1"/>
    <xf numFmtId="0" fontId="3" fillId="0" borderId="0" xfId="0" applyFont="1"/>
    <xf numFmtId="164" fontId="3" fillId="0" borderId="22" xfId="1" applyNumberFormat="1" applyFont="1" applyBorder="1"/>
    <xf numFmtId="164" fontId="6" fillId="0" borderId="22" xfId="1" applyNumberFormat="1" applyFont="1" applyBorder="1"/>
    <xf numFmtId="164" fontId="7" fillId="0" borderId="22" xfId="1" applyNumberFormat="1" applyFont="1" applyBorder="1"/>
    <xf numFmtId="164" fontId="7" fillId="0" borderId="0" xfId="1" applyNumberFormat="1" applyFont="1" applyBorder="1"/>
    <xf numFmtId="164" fontId="3" fillId="0" borderId="0" xfId="1" applyNumberFormat="1" applyFont="1"/>
    <xf numFmtId="0" fontId="0" fillId="0" borderId="13" xfId="0" applyNumberFormat="1" applyBorder="1"/>
    <xf numFmtId="0" fontId="0" fillId="0" borderId="14" xfId="0" applyNumberFormat="1" applyBorder="1"/>
    <xf numFmtId="0" fontId="0" fillId="0" borderId="23" xfId="0" applyNumberFormat="1" applyFill="1" applyBorder="1"/>
    <xf numFmtId="164" fontId="1" fillId="0" borderId="0" xfId="1" applyNumberFormat="1" applyFont="1"/>
    <xf numFmtId="164" fontId="8" fillId="0" borderId="0" xfId="1" applyNumberFormat="1" applyFont="1"/>
    <xf numFmtId="164" fontId="2" fillId="0" borderId="0" xfId="1" applyNumberFormat="1" applyFont="1"/>
    <xf numFmtId="0" fontId="0" fillId="0" borderId="17" xfId="0" applyNumberFormat="1" applyBorder="1"/>
    <xf numFmtId="0" fontId="0" fillId="0" borderId="24" xfId="0" applyNumberFormat="1" applyFill="1" applyBorder="1"/>
    <xf numFmtId="0" fontId="0" fillId="0" borderId="25" xfId="0" applyBorder="1"/>
    <xf numFmtId="164" fontId="0" fillId="0" borderId="0" xfId="0" applyNumberFormat="1"/>
    <xf numFmtId="0" fontId="0" fillId="0" borderId="26" xfId="0" applyBorder="1"/>
    <xf numFmtId="165" fontId="8" fillId="0" borderId="0" xfId="3" applyNumberFormat="1" applyFont="1"/>
    <xf numFmtId="165" fontId="2" fillId="0" borderId="0" xfId="3" applyNumberFormat="1" applyFont="1"/>
    <xf numFmtId="164" fontId="1" fillId="0" borderId="0" xfId="1" applyNumberFormat="1" applyFont="1" applyBorder="1"/>
    <xf numFmtId="0" fontId="9" fillId="0" borderId="0" xfId="0" applyFont="1" applyAlignment="1">
      <alignment horizontal="left" vertical="top"/>
    </xf>
    <xf numFmtId="0" fontId="0" fillId="0" borderId="0" xfId="0" applyAlignment="1">
      <alignment horizontal="left"/>
    </xf>
    <xf numFmtId="0" fontId="0" fillId="0" borderId="27" xfId="0" applyBorder="1"/>
    <xf numFmtId="0" fontId="0" fillId="0" borderId="28" xfId="0" applyBorder="1"/>
    <xf numFmtId="0" fontId="0" fillId="0" borderId="2" xfId="0" applyNumberFormat="1" applyBorder="1"/>
    <xf numFmtId="0" fontId="0" fillId="0" borderId="3" xfId="0" applyNumberFormat="1" applyBorder="1"/>
    <xf numFmtId="0" fontId="0" fillId="0" borderId="4" xfId="0" applyNumberFormat="1" applyBorder="1"/>
    <xf numFmtId="0" fontId="0" fillId="0" borderId="9" xfId="0" applyNumberFormat="1" applyBorder="1"/>
    <xf numFmtId="0" fontId="0" fillId="0" borderId="29" xfId="0" applyBorder="1"/>
    <xf numFmtId="0" fontId="0" fillId="0" borderId="30" xfId="0" applyNumberFormat="1" applyBorder="1"/>
    <xf numFmtId="0" fontId="0" fillId="0" borderId="23" xfId="0" applyNumberFormat="1" applyBorder="1"/>
    <xf numFmtId="0" fontId="0" fillId="0" borderId="19" xfId="0" applyNumberFormat="1" applyFill="1" applyBorder="1"/>
    <xf numFmtId="0" fontId="0" fillId="0" borderId="19" xfId="0" applyNumberFormat="1" applyBorder="1"/>
    <xf numFmtId="164" fontId="1" fillId="0" borderId="22" xfId="1" applyNumberFormat="1" applyFont="1" applyBorder="1"/>
    <xf numFmtId="164" fontId="8" fillId="0" borderId="22" xfId="1" applyNumberFormat="1" applyFont="1" applyBorder="1"/>
    <xf numFmtId="164" fontId="2" fillId="0" borderId="22" xfId="1" applyNumberFormat="1" applyFont="1" applyBorder="1"/>
    <xf numFmtId="164" fontId="2" fillId="0" borderId="0" xfId="1" applyNumberFormat="1" applyFont="1" applyBorder="1"/>
    <xf numFmtId="0" fontId="0" fillId="0" borderId="21" xfId="0" applyNumberFormat="1" applyFill="1" applyBorder="1"/>
    <xf numFmtId="0" fontId="3" fillId="0" borderId="31" xfId="0" applyNumberFormat="1" applyFont="1" applyBorder="1"/>
    <xf numFmtId="0" fontId="3" fillId="0" borderId="32" xfId="0" applyNumberFormat="1" applyFont="1" applyBorder="1"/>
    <xf numFmtId="164" fontId="3" fillId="0" borderId="14" xfId="1" applyNumberFormat="1" applyFont="1" applyBorder="1"/>
    <xf numFmtId="164" fontId="6" fillId="0" borderId="14" xfId="1" applyNumberFormat="1" applyFont="1" applyBorder="1"/>
    <xf numFmtId="164" fontId="7" fillId="0" borderId="14" xfId="1" applyNumberFormat="1" applyFont="1" applyBorder="1"/>
    <xf numFmtId="0" fontId="3" fillId="0" borderId="33" xfId="0" applyFont="1" applyBorder="1"/>
    <xf numFmtId="0" fontId="3" fillId="0" borderId="34" xfId="0" applyFont="1" applyBorder="1"/>
    <xf numFmtId="0" fontId="3" fillId="0" borderId="35" xfId="0" applyNumberFormat="1" applyFont="1" applyBorder="1"/>
    <xf numFmtId="0" fontId="3" fillId="0" borderId="36" xfId="0" applyNumberFormat="1" applyFont="1" applyBorder="1"/>
    <xf numFmtId="0" fontId="3" fillId="0" borderId="37" xfId="0" applyNumberFormat="1" applyFont="1" applyBorder="1"/>
    <xf numFmtId="0" fontId="0" fillId="0" borderId="0" xfId="0" applyFont="1"/>
    <xf numFmtId="164" fontId="0" fillId="0" borderId="0" xfId="0" applyNumberFormat="1" applyFont="1" applyBorder="1"/>
    <xf numFmtId="1" fontId="0" fillId="0" borderId="0" xfId="0" applyNumberFormat="1"/>
    <xf numFmtId="165" fontId="1" fillId="0" borderId="0" xfId="3" applyNumberFormat="1" applyFont="1"/>
    <xf numFmtId="1" fontId="0" fillId="0" borderId="0" xfId="0" applyNumberFormat="1" applyBorder="1"/>
    <xf numFmtId="164" fontId="3" fillId="0" borderId="38" xfId="0" applyNumberFormat="1" applyFont="1" applyBorder="1"/>
    <xf numFmtId="164" fontId="6" fillId="0" borderId="38" xfId="0" applyNumberFormat="1" applyFont="1" applyBorder="1"/>
    <xf numFmtId="164" fontId="7" fillId="0" borderId="38" xfId="0" applyNumberFormat="1" applyFont="1" applyBorder="1"/>
    <xf numFmtId="43" fontId="7" fillId="0" borderId="0" xfId="0" applyNumberFormat="1" applyFont="1" applyBorder="1"/>
    <xf numFmtId="3" fontId="0" fillId="0" borderId="0" xfId="0" applyNumberFormat="1"/>
    <xf numFmtId="3" fontId="1" fillId="0" borderId="0" xfId="1" applyNumberFormat="1" applyFont="1"/>
    <xf numFmtId="3" fontId="8" fillId="0" borderId="0" xfId="1" applyNumberFormat="1" applyFont="1"/>
    <xf numFmtId="3" fontId="2" fillId="0" borderId="0" xfId="1" applyNumberFormat="1" applyFont="1"/>
    <xf numFmtId="166" fontId="0" fillId="0" borderId="0" xfId="0" applyNumberFormat="1"/>
    <xf numFmtId="3" fontId="2" fillId="0" borderId="0" xfId="0" applyNumberFormat="1" applyFont="1" applyFill="1" applyBorder="1"/>
    <xf numFmtId="3" fontId="0" fillId="0" borderId="0" xfId="0" applyNumberFormat="1" applyFont="1" applyFill="1" applyBorder="1"/>
    <xf numFmtId="164" fontId="0" fillId="0" borderId="0" xfId="0" applyNumberFormat="1" applyFont="1" applyFill="1" applyBorder="1"/>
    <xf numFmtId="0" fontId="0" fillId="0" borderId="0" xfId="0" applyAlignment="1">
      <alignment horizontal="left" indent="1"/>
    </xf>
    <xf numFmtId="3" fontId="1" fillId="0" borderId="0" xfId="3" applyNumberFormat="1" applyFont="1" applyFill="1" applyBorder="1"/>
    <xf numFmtId="10" fontId="1" fillId="0" borderId="0" xfId="3" applyNumberFormat="1" applyFont="1" applyFill="1" applyBorder="1"/>
    <xf numFmtId="10" fontId="8" fillId="0" borderId="0" xfId="3" applyNumberFormat="1" applyFont="1" applyFill="1" applyBorder="1"/>
    <xf numFmtId="3" fontId="2" fillId="0" borderId="0" xfId="3" applyNumberFormat="1" applyFont="1" applyFill="1" applyBorder="1"/>
    <xf numFmtId="165" fontId="1" fillId="0" borderId="0" xfId="3" applyNumberFormat="1" applyFont="1" applyFill="1" applyBorder="1"/>
    <xf numFmtId="0" fontId="3" fillId="0" borderId="3" xfId="0" applyFont="1" applyBorder="1"/>
    <xf numFmtId="164" fontId="1" fillId="0" borderId="3" xfId="1" applyNumberFormat="1" applyFont="1" applyBorder="1" applyAlignment="1">
      <alignment horizontal="left"/>
    </xf>
    <xf numFmtId="0" fontId="0" fillId="2" borderId="0" xfId="0" applyFill="1" applyAlignment="1"/>
    <xf numFmtId="0" fontId="0" fillId="0" borderId="0" xfId="0" applyAlignment="1"/>
    <xf numFmtId="10" fontId="0" fillId="0" borderId="0" xfId="0" applyNumberFormat="1"/>
    <xf numFmtId="3" fontId="0" fillId="2" borderId="0" xfId="0" applyNumberFormat="1" applyFill="1" applyAlignment="1"/>
    <xf numFmtId="9" fontId="0" fillId="2" borderId="0" xfId="0" applyNumberFormat="1" applyFill="1"/>
    <xf numFmtId="0" fontId="0" fillId="0" borderId="0" xfId="0" applyFill="1"/>
    <xf numFmtId="0" fontId="0" fillId="0" borderId="0" xfId="0" applyFill="1" applyAlignment="1">
      <alignment horizontal="left"/>
    </xf>
    <xf numFmtId="165" fontId="1" fillId="0" borderId="0" xfId="3" applyNumberFormat="1" applyFont="1" applyFill="1"/>
    <xf numFmtId="0" fontId="0" fillId="0" borderId="3" xfId="0" applyBorder="1"/>
    <xf numFmtId="165" fontId="2" fillId="0" borderId="0" xfId="3" applyNumberFormat="1" applyFont="1" applyFill="1"/>
    <xf numFmtId="0" fontId="3" fillId="0" borderId="0" xfId="0" applyFont="1" applyAlignment="1">
      <alignment horizontal="left"/>
    </xf>
    <xf numFmtId="3" fontId="2" fillId="0" borderId="0" xfId="0" applyNumberFormat="1" applyFont="1"/>
    <xf numFmtId="0" fontId="10" fillId="0" borderId="0" xfId="0" applyFont="1"/>
    <xf numFmtId="0" fontId="0" fillId="3" borderId="0" xfId="0" applyFill="1"/>
    <xf numFmtId="3" fontId="0" fillId="3" borderId="0" xfId="0" applyNumberFormat="1" applyFill="1"/>
    <xf numFmtId="165" fontId="5" fillId="0" borderId="0" xfId="3" applyNumberFormat="1" applyFont="1"/>
    <xf numFmtId="1" fontId="2" fillId="2" borderId="8" xfId="3" applyNumberFormat="1" applyFont="1" applyFill="1" applyBorder="1" applyAlignment="1">
      <alignment horizontal="center"/>
    </xf>
    <xf numFmtId="1" fontId="2" fillId="2" borderId="15" xfId="3" applyNumberFormat="1" applyFont="1" applyFill="1" applyBorder="1" applyAlignment="1">
      <alignment horizontal="center"/>
    </xf>
    <xf numFmtId="1" fontId="2" fillId="2" borderId="18" xfId="3" applyNumberFormat="1" applyFont="1" applyFill="1" applyBorder="1" applyAlignment="1">
      <alignment horizontal="center"/>
    </xf>
    <xf numFmtId="43" fontId="0" fillId="0" borderId="0" xfId="0" applyNumberFormat="1"/>
    <xf numFmtId="165" fontId="2" fillId="0" borderId="0" xfId="0" applyNumberFormat="1" applyFont="1"/>
    <xf numFmtId="1" fontId="2" fillId="0" borderId="0" xfId="0" applyNumberFormat="1" applyFont="1" applyAlignment="1">
      <alignment horizontal="center"/>
    </xf>
    <xf numFmtId="164" fontId="10" fillId="0" borderId="0" xfId="0" applyNumberFormat="1" applyFont="1"/>
    <xf numFmtId="3" fontId="8" fillId="0" borderId="0" xfId="0" applyNumberFormat="1" applyFont="1" applyFill="1" applyBorder="1"/>
    <xf numFmtId="1" fontId="2" fillId="2" borderId="8" xfId="0" applyNumberFormat="1" applyFont="1" applyFill="1" applyBorder="1" applyAlignment="1">
      <alignment horizontal="center"/>
    </xf>
    <xf numFmtId="1" fontId="2" fillId="2" borderId="18" xfId="0" applyNumberFormat="1" applyFont="1" applyFill="1" applyBorder="1" applyAlignment="1">
      <alignment horizontal="center"/>
    </xf>
    <xf numFmtId="1" fontId="0" fillId="0" borderId="0" xfId="0" applyNumberFormat="1" applyFont="1" applyFill="1" applyBorder="1" applyAlignment="1">
      <alignment horizontal="center"/>
    </xf>
    <xf numFmtId="1" fontId="0" fillId="0" borderId="0" xfId="0" applyNumberFormat="1" applyAlignment="1">
      <alignment horizontal="center"/>
    </xf>
    <xf numFmtId="0" fontId="0" fillId="0" borderId="0" xfId="0" applyFont="1" applyFill="1" applyBorder="1" applyAlignment="1">
      <alignment horizontal="left" wrapText="1" indent="1"/>
    </xf>
    <xf numFmtId="165" fontId="1" fillId="0" borderId="0" xfId="3" applyNumberFormat="1" applyFont="1" applyAlignment="1">
      <alignment horizontal="left" indent="1"/>
    </xf>
    <xf numFmtId="3" fontId="0" fillId="2" borderId="8" xfId="0" applyNumberFormat="1" applyFill="1" applyBorder="1"/>
    <xf numFmtId="0" fontId="0" fillId="2" borderId="15" xfId="0" applyFill="1" applyBorder="1"/>
    <xf numFmtId="0" fontId="0" fillId="2" borderId="18" xfId="0" applyFill="1" applyBorder="1"/>
    <xf numFmtId="0" fontId="0" fillId="0" borderId="0" xfId="0" applyAlignment="1">
      <alignment horizontal="center"/>
    </xf>
    <xf numFmtId="0" fontId="0" fillId="4" borderId="0" xfId="0" applyFill="1" applyAlignment="1">
      <alignment horizontal="center"/>
    </xf>
    <xf numFmtId="0" fontId="0" fillId="0" borderId="0" xfId="0" applyFill="1" applyAlignment="1">
      <alignment horizontal="center"/>
    </xf>
    <xf numFmtId="0" fontId="3" fillId="0" borderId="0" xfId="0" applyFont="1" applyFill="1"/>
    <xf numFmtId="0" fontId="3" fillId="4" borderId="0" xfId="0" applyFont="1" applyFill="1"/>
    <xf numFmtId="167" fontId="0" fillId="0" borderId="0" xfId="0" applyNumberFormat="1"/>
    <xf numFmtId="167" fontId="0" fillId="4" borderId="0" xfId="0" applyNumberFormat="1" applyFill="1"/>
    <xf numFmtId="167" fontId="0" fillId="0" borderId="0" xfId="0" applyNumberFormat="1" applyFill="1"/>
    <xf numFmtId="165" fontId="1" fillId="4" borderId="0" xfId="3" applyNumberFormat="1" applyFont="1" applyFill="1"/>
    <xf numFmtId="10" fontId="1" fillId="0" borderId="0" xfId="3" applyNumberFormat="1" applyFont="1"/>
    <xf numFmtId="10" fontId="1" fillId="0" borderId="0" xfId="3" applyNumberFormat="1" applyFont="1" applyFill="1"/>
    <xf numFmtId="10" fontId="1" fillId="4" borderId="0" xfId="3" applyNumberFormat="1" applyFont="1" applyFill="1"/>
    <xf numFmtId="0" fontId="10" fillId="0" borderId="0" xfId="0" applyFont="1" applyAlignment="1">
      <alignment horizontal="right"/>
    </xf>
    <xf numFmtId="43" fontId="10" fillId="0" borderId="0" xfId="1" applyFont="1"/>
    <xf numFmtId="43" fontId="10" fillId="0" borderId="0" xfId="1" applyFont="1" applyFill="1"/>
    <xf numFmtId="43" fontId="10" fillId="4" borderId="0" xfId="1" applyFont="1" applyFill="1"/>
    <xf numFmtId="3" fontId="13" fillId="0" borderId="0" xfId="0" applyNumberFormat="1" applyFont="1"/>
    <xf numFmtId="3" fontId="14" fillId="0" borderId="0" xfId="0" applyNumberFormat="1" applyFont="1" applyFill="1" applyAlignment="1">
      <alignment horizontal="right" wrapText="1"/>
    </xf>
    <xf numFmtId="3" fontId="14" fillId="5" borderId="0" xfId="0" applyNumberFormat="1" applyFont="1" applyFill="1" applyAlignment="1">
      <alignment horizontal="right" wrapText="1"/>
    </xf>
    <xf numFmtId="168" fontId="14" fillId="5" borderId="0" xfId="0" applyNumberFormat="1" applyFont="1" applyFill="1" applyBorder="1" applyAlignment="1">
      <alignment horizontal="right" wrapText="1"/>
    </xf>
    <xf numFmtId="43" fontId="10" fillId="0" borderId="0" xfId="1" applyNumberFormat="1" applyFont="1" applyFill="1"/>
    <xf numFmtId="43" fontId="10" fillId="4" borderId="0" xfId="1" applyNumberFormat="1" applyFont="1" applyFill="1"/>
    <xf numFmtId="3" fontId="0" fillId="0" borderId="0" xfId="0" applyNumberFormat="1" applyFill="1"/>
    <xf numFmtId="169" fontId="15" fillId="0" borderId="0" xfId="0" applyNumberFormat="1" applyFont="1" applyAlignment="1">
      <alignment horizontal="left" vertical="top"/>
    </xf>
    <xf numFmtId="169" fontId="15" fillId="0" borderId="0" xfId="0" applyNumberFormat="1" applyFont="1" applyBorder="1" applyAlignment="1">
      <alignment horizontal="left" vertical="top"/>
    </xf>
    <xf numFmtId="43" fontId="1" fillId="0" borderId="0" xfId="1" applyFont="1"/>
    <xf numFmtId="0" fontId="16" fillId="0" borderId="0" xfId="0" applyFont="1" applyBorder="1" applyAlignment="1">
      <alignment horizontal="left" vertical="center" wrapText="1"/>
    </xf>
    <xf numFmtId="0" fontId="16" fillId="0" borderId="0" xfId="0" applyFont="1" applyBorder="1" applyAlignment="1">
      <alignment horizontal="left" vertical="top" wrapText="1"/>
    </xf>
    <xf numFmtId="0" fontId="17" fillId="0" borderId="0" xfId="0" applyFont="1" applyBorder="1" applyAlignment="1">
      <alignment horizontal="left" vertical="center" wrapText="1"/>
    </xf>
    <xf numFmtId="170" fontId="18" fillId="0" borderId="0" xfId="0" applyNumberFormat="1" applyFont="1" applyBorder="1" applyAlignment="1">
      <alignment horizontal="left" vertical="center" wrapText="1"/>
    </xf>
    <xf numFmtId="0" fontId="17" fillId="0" borderId="0" xfId="0" applyFont="1" applyBorder="1" applyAlignment="1">
      <alignment horizontal="left" vertical="top" wrapText="1"/>
    </xf>
    <xf numFmtId="169" fontId="18" fillId="0" borderId="0" xfId="0" applyNumberFormat="1" applyFont="1" applyBorder="1" applyAlignment="1">
      <alignment horizontal="left" vertical="top" wrapText="1"/>
    </xf>
    <xf numFmtId="171" fontId="0" fillId="0" borderId="0" xfId="0" applyNumberFormat="1"/>
    <xf numFmtId="170" fontId="18" fillId="0" borderId="0" xfId="0" applyNumberFormat="1" applyFont="1" applyBorder="1" applyAlignment="1">
      <alignment horizontal="left" vertical="top" wrapText="1"/>
    </xf>
    <xf numFmtId="3" fontId="18" fillId="0" borderId="0" xfId="0" applyNumberFormat="1" applyFont="1" applyAlignment="1">
      <alignment horizontal="left" vertical="top"/>
    </xf>
    <xf numFmtId="169" fontId="19" fillId="0" borderId="0" xfId="0" applyNumberFormat="1" applyFont="1" applyBorder="1" applyAlignment="1">
      <alignment horizontal="left" vertical="top" wrapText="1"/>
    </xf>
    <xf numFmtId="0" fontId="9" fillId="0" borderId="0" xfId="0" applyFont="1" applyAlignment="1">
      <alignment horizontal="left"/>
    </xf>
    <xf numFmtId="0" fontId="16" fillId="0" borderId="39" xfId="0" applyFont="1" applyBorder="1" applyAlignment="1">
      <alignment horizontal="left" vertical="top" wrapText="1"/>
    </xf>
    <xf numFmtId="170" fontId="18" fillId="0" borderId="40" xfId="0" applyNumberFormat="1" applyFont="1" applyBorder="1" applyAlignment="1">
      <alignment horizontal="left" vertical="center" wrapText="1"/>
    </xf>
    <xf numFmtId="169" fontId="18" fillId="0" borderId="0" xfId="0" applyNumberFormat="1" applyFont="1" applyAlignment="1">
      <alignment horizontal="left" vertical="top" wrapText="1"/>
    </xf>
    <xf numFmtId="170" fontId="18" fillId="0" borderId="0" xfId="0" applyNumberFormat="1" applyFont="1" applyAlignment="1">
      <alignment horizontal="left" vertical="top" wrapText="1"/>
    </xf>
    <xf numFmtId="170" fontId="18" fillId="0" borderId="39" xfId="0" applyNumberFormat="1" applyFont="1" applyBorder="1" applyAlignment="1">
      <alignment horizontal="left" vertical="top" wrapText="1"/>
    </xf>
    <xf numFmtId="169" fontId="19" fillId="0" borderId="41" xfId="0" applyNumberFormat="1" applyFont="1" applyBorder="1" applyAlignment="1">
      <alignment horizontal="left" vertical="top" wrapText="1"/>
    </xf>
    <xf numFmtId="0" fontId="0" fillId="0" borderId="0" xfId="0" applyAlignment="1">
      <alignment horizontal="center"/>
    </xf>
    <xf numFmtId="171" fontId="0" fillId="0" borderId="0" xfId="0" applyNumberFormat="1" applyFill="1"/>
    <xf numFmtId="172" fontId="0" fillId="0" borderId="0" xfId="0" applyNumberFormat="1"/>
    <xf numFmtId="164" fontId="10" fillId="0" borderId="0" xfId="0" applyNumberFormat="1" applyFont="1" applyFill="1"/>
    <xf numFmtId="164" fontId="10" fillId="4" borderId="0" xfId="0" applyNumberFormat="1" applyFont="1" applyFill="1"/>
    <xf numFmtId="169" fontId="20" fillId="0" borderId="0" xfId="0" applyNumberFormat="1" applyFont="1" applyBorder="1" applyAlignment="1">
      <alignment horizontal="right" vertical="top" wrapText="1"/>
    </xf>
    <xf numFmtId="169" fontId="20" fillId="6" borderId="0" xfId="0" applyNumberFormat="1" applyFont="1" applyFill="1" applyBorder="1" applyAlignment="1">
      <alignment horizontal="right" vertical="top" wrapText="1"/>
    </xf>
    <xf numFmtId="173" fontId="20" fillId="0" borderId="0" xfId="0" applyNumberFormat="1" applyFont="1" applyAlignment="1">
      <alignment horizontal="left" vertical="top"/>
    </xf>
    <xf numFmtId="3" fontId="21" fillId="0" borderId="0" xfId="0" applyNumberFormat="1" applyFont="1" applyAlignment="1">
      <alignment horizontal="left" vertical="top"/>
    </xf>
    <xf numFmtId="169" fontId="20" fillId="0" borderId="0" xfId="0" applyNumberFormat="1" applyFont="1" applyAlignment="1">
      <alignment horizontal="left" vertical="top"/>
    </xf>
    <xf numFmtId="165" fontId="0" fillId="0" borderId="0" xfId="0" applyNumberFormat="1"/>
    <xf numFmtId="174" fontId="0" fillId="0" borderId="0" xfId="0" applyNumberFormat="1"/>
    <xf numFmtId="169" fontId="22" fillId="0" borderId="0" xfId="0" applyNumberFormat="1" applyFont="1" applyAlignment="1">
      <alignment horizontal="left" vertical="top"/>
    </xf>
    <xf numFmtId="0" fontId="9" fillId="0" borderId="0" xfId="0" applyFont="1" applyAlignment="1">
      <alignment vertical="top" wrapText="1"/>
    </xf>
    <xf numFmtId="0" fontId="9" fillId="0" borderId="0" xfId="0" applyFont="1" applyAlignment="1">
      <alignment horizontal="left" wrapText="1"/>
    </xf>
    <xf numFmtId="3" fontId="19" fillId="0" borderId="0" xfId="0" applyNumberFormat="1" applyFont="1" applyAlignment="1">
      <alignment horizontal="left" vertical="top"/>
    </xf>
    <xf numFmtId="3" fontId="9" fillId="0" borderId="0" xfId="0" applyNumberFormat="1" applyFont="1" applyAlignment="1">
      <alignment horizontal="left"/>
    </xf>
    <xf numFmtId="0" fontId="3" fillId="0" borderId="3" xfId="0" applyFont="1" applyBorder="1" applyAlignment="1">
      <alignment horizontal="left"/>
    </xf>
    <xf numFmtId="0" fontId="23" fillId="0" borderId="0" xfId="0" applyFont="1" applyBorder="1" applyAlignment="1">
      <alignment horizontal="left" indent="2"/>
    </xf>
    <xf numFmtId="175" fontId="0" fillId="0" borderId="0" xfId="0" applyNumberFormat="1" applyBorder="1"/>
    <xf numFmtId="175" fontId="0" fillId="0" borderId="0" xfId="0" applyNumberFormat="1"/>
    <xf numFmtId="0" fontId="3" fillId="0" borderId="0" xfId="0" applyFont="1" applyBorder="1" applyAlignment="1">
      <alignment horizontal="left"/>
    </xf>
    <xf numFmtId="0" fontId="0" fillId="0" borderId="0" xfId="0" applyFont="1" applyBorder="1" applyAlignment="1">
      <alignment horizontal="left" indent="1"/>
    </xf>
    <xf numFmtId="0" fontId="0" fillId="0" borderId="3" xfId="0" applyFont="1" applyBorder="1" applyAlignment="1">
      <alignment horizontal="left" indent="1"/>
    </xf>
    <xf numFmtId="165" fontId="1" fillId="0" borderId="3" xfId="3" applyNumberFormat="1" applyFont="1" applyBorder="1"/>
    <xf numFmtId="165" fontId="1" fillId="0" borderId="0" xfId="3" applyNumberFormat="1" applyFont="1" applyBorder="1"/>
    <xf numFmtId="0" fontId="23" fillId="0" borderId="0" xfId="0" applyFont="1" applyFill="1" applyBorder="1"/>
    <xf numFmtId="0" fontId="0" fillId="0" borderId="32" xfId="0" applyBorder="1"/>
    <xf numFmtId="164" fontId="24" fillId="0" borderId="0" xfId="1" applyNumberFormat="1" applyFont="1"/>
    <xf numFmtId="165" fontId="24" fillId="0" borderId="0" xfId="3" applyNumberFormat="1" applyFont="1"/>
    <xf numFmtId="164" fontId="1" fillId="0" borderId="3" xfId="1" applyNumberFormat="1" applyFont="1" applyBorder="1"/>
    <xf numFmtId="164" fontId="0" fillId="0" borderId="0" xfId="0" applyNumberFormat="1" applyBorder="1"/>
    <xf numFmtId="164" fontId="0" fillId="0" borderId="3" xfId="0" applyNumberFormat="1" applyBorder="1"/>
    <xf numFmtId="164" fontId="25" fillId="0" borderId="0" xfId="1" applyNumberFormat="1" applyFont="1"/>
    <xf numFmtId="165" fontId="2" fillId="0" borderId="3" xfId="3" applyNumberFormat="1" applyFont="1" applyBorder="1"/>
    <xf numFmtId="0" fontId="2" fillId="0" borderId="0" xfId="0" applyFont="1" applyBorder="1"/>
    <xf numFmtId="176" fontId="0" fillId="0" borderId="0" xfId="0" applyNumberFormat="1" applyAlignment="1">
      <alignment horizontal="left" indent="1"/>
    </xf>
    <xf numFmtId="177" fontId="0" fillId="0" borderId="0" xfId="0" applyNumberFormat="1"/>
    <xf numFmtId="176" fontId="0" fillId="0" borderId="3" xfId="0" applyNumberFormat="1" applyBorder="1" applyAlignment="1">
      <alignment horizontal="left" indent="1"/>
    </xf>
    <xf numFmtId="177" fontId="0" fillId="0" borderId="3" xfId="0" applyNumberFormat="1" applyBorder="1"/>
    <xf numFmtId="177" fontId="0" fillId="0" borderId="0" xfId="0" applyNumberFormat="1" applyBorder="1"/>
    <xf numFmtId="176" fontId="3" fillId="0" borderId="0" xfId="0" applyNumberFormat="1" applyFont="1" applyAlignment="1">
      <alignment horizontal="left" indent="1"/>
    </xf>
    <xf numFmtId="177" fontId="3" fillId="0" borderId="0" xfId="0" applyNumberFormat="1" applyFont="1"/>
    <xf numFmtId="176" fontId="0" fillId="0" borderId="0" xfId="0" applyNumberFormat="1" applyFill="1" applyBorder="1" applyAlignment="1">
      <alignment horizontal="left" indent="1"/>
    </xf>
    <xf numFmtId="0" fontId="26" fillId="0" borderId="0" xfId="0" applyFont="1" applyFill="1" applyBorder="1"/>
    <xf numFmtId="3" fontId="27" fillId="0" borderId="0" xfId="4" applyNumberFormat="1"/>
    <xf numFmtId="0" fontId="29" fillId="0" borderId="0" xfId="0" applyFont="1"/>
    <xf numFmtId="0" fontId="3" fillId="0" borderId="0" xfId="0" applyFont="1" applyAlignment="1">
      <alignment horizontal="center" vertical="center" wrapText="1"/>
    </xf>
    <xf numFmtId="0" fontId="3" fillId="0" borderId="0" xfId="0" applyFont="1" applyAlignment="1">
      <alignment horizontal="center" wrapText="1"/>
    </xf>
    <xf numFmtId="49" fontId="0" fillId="0" borderId="0" xfId="0" applyNumberFormat="1" applyAlignment="1">
      <alignment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0" fontId="3" fillId="0" borderId="0" xfId="4" applyFont="1" applyAlignment="1">
      <alignment horizontal="center" vertical="center" wrapText="1"/>
    </xf>
    <xf numFmtId="10" fontId="26" fillId="0" borderId="0" xfId="3" applyNumberFormat="1" applyFont="1" applyFill="1" applyBorder="1" applyAlignment="1">
      <alignment vertical="top"/>
    </xf>
    <xf numFmtId="0" fontId="0" fillId="7" borderId="0" xfId="0" applyFill="1"/>
    <xf numFmtId="49" fontId="3" fillId="0" borderId="0" xfId="4" applyNumberFormat="1" applyFont="1" applyAlignment="1">
      <alignment horizontal="center" vertical="center" wrapText="1"/>
    </xf>
    <xf numFmtId="0" fontId="0" fillId="5" borderId="20" xfId="0" applyFill="1" applyBorder="1"/>
    <xf numFmtId="0" fontId="0" fillId="0" borderId="20" xfId="0" applyBorder="1"/>
    <xf numFmtId="0" fontId="0" fillId="7" borderId="20" xfId="0" applyFill="1" applyBorder="1"/>
    <xf numFmtId="0" fontId="3" fillId="0" borderId="3" xfId="0" applyFont="1" applyBorder="1" applyAlignment="1">
      <alignment horizontal="center"/>
    </xf>
    <xf numFmtId="0" fontId="29" fillId="0" borderId="0" xfId="0" applyFont="1" applyBorder="1"/>
    <xf numFmtId="49" fontId="0" fillId="0" borderId="0" xfId="0" applyNumberFormat="1" applyAlignment="1">
      <alignment vertical="center" wrapText="1"/>
    </xf>
    <xf numFmtId="167" fontId="1" fillId="0" borderId="0" xfId="1" applyNumberFormat="1" applyFont="1" applyBorder="1"/>
    <xf numFmtId="167" fontId="26" fillId="0" borderId="0" xfId="1" applyNumberFormat="1" applyFont="1" applyFill="1" applyBorder="1"/>
    <xf numFmtId="0" fontId="30" fillId="5" borderId="20" xfId="0" applyFont="1" applyFill="1" applyBorder="1"/>
    <xf numFmtId="10" fontId="30" fillId="8" borderId="20" xfId="3" applyNumberFormat="1" applyFont="1" applyFill="1" applyBorder="1"/>
    <xf numFmtId="0" fontId="0" fillId="0" borderId="0" xfId="0" applyFill="1" applyAlignment="1">
      <alignment horizontal="right"/>
    </xf>
    <xf numFmtId="10" fontId="0" fillId="0" borderId="0" xfId="0" applyNumberFormat="1" applyFill="1"/>
    <xf numFmtId="0" fontId="0" fillId="0" borderId="0" xfId="0" applyAlignment="1">
      <alignment wrapText="1"/>
    </xf>
    <xf numFmtId="0" fontId="27" fillId="0" borderId="0" xfId="4" applyAlignment="1">
      <alignment wrapText="1"/>
    </xf>
    <xf numFmtId="10" fontId="30" fillId="9" borderId="20" xfId="3" applyNumberFormat="1" applyFont="1" applyFill="1" applyBorder="1"/>
    <xf numFmtId="178" fontId="23" fillId="0" borderId="20" xfId="3" applyNumberFormat="1" applyFont="1" applyFill="1" applyBorder="1"/>
    <xf numFmtId="10" fontId="0" fillId="0" borderId="20" xfId="0" applyNumberFormat="1" applyBorder="1"/>
    <xf numFmtId="165" fontId="0" fillId="0" borderId="20" xfId="0" applyNumberFormat="1" applyBorder="1"/>
    <xf numFmtId="0" fontId="23" fillId="0" borderId="0" xfId="0" applyFont="1" applyFill="1" applyBorder="1" applyAlignment="1">
      <alignment horizontal="right"/>
    </xf>
    <xf numFmtId="167" fontId="31" fillId="0" borderId="0" xfId="1" applyNumberFormat="1" applyFont="1" applyFill="1" applyBorder="1"/>
    <xf numFmtId="0" fontId="32" fillId="0" borderId="20" xfId="0" applyFont="1" applyBorder="1"/>
    <xf numFmtId="178" fontId="23" fillId="2" borderId="20" xfId="3" applyNumberFormat="1" applyFont="1" applyFill="1" applyBorder="1"/>
    <xf numFmtId="10" fontId="1" fillId="0" borderId="20" xfId="3" applyNumberFormat="1" applyFont="1" applyBorder="1"/>
    <xf numFmtId="0" fontId="0" fillId="0" borderId="0" xfId="0" applyFill="1" applyBorder="1"/>
    <xf numFmtId="10" fontId="1" fillId="2" borderId="20" xfId="3" applyNumberFormat="1" applyFont="1" applyFill="1" applyBorder="1"/>
    <xf numFmtId="179" fontId="32" fillId="0" borderId="20" xfId="3" applyNumberFormat="1" applyFont="1" applyFill="1" applyBorder="1"/>
    <xf numFmtId="10" fontId="23" fillId="8" borderId="20" xfId="3" applyNumberFormat="1" applyFont="1" applyFill="1" applyBorder="1"/>
    <xf numFmtId="179" fontId="32" fillId="2" borderId="20" xfId="3" applyNumberFormat="1" applyFont="1" applyFill="1" applyBorder="1"/>
    <xf numFmtId="0" fontId="32" fillId="0" borderId="20" xfId="0" applyFont="1" applyFill="1" applyBorder="1"/>
    <xf numFmtId="179" fontId="32" fillId="9" borderId="20" xfId="3" applyNumberFormat="1" applyFont="1" applyFill="1" applyBorder="1"/>
    <xf numFmtId="0" fontId="32" fillId="5" borderId="20" xfId="0" applyFont="1" applyFill="1" applyBorder="1"/>
    <xf numFmtId="179" fontId="32" fillId="10" borderId="20" xfId="3" applyNumberFormat="1" applyFont="1" applyFill="1" applyBorder="1"/>
    <xf numFmtId="179" fontId="32" fillId="7" borderId="20" xfId="3" applyNumberFormat="1" applyFont="1" applyFill="1" applyBorder="1"/>
    <xf numFmtId="179" fontId="32" fillId="11" borderId="20" xfId="3" applyNumberFormat="1" applyFont="1" applyFill="1" applyBorder="1"/>
    <xf numFmtId="10" fontId="0" fillId="12" borderId="20" xfId="0" applyNumberFormat="1" applyFill="1" applyBorder="1"/>
    <xf numFmtId="0" fontId="3" fillId="0" borderId="0" xfId="0" applyFont="1" applyAlignment="1">
      <alignment wrapText="1"/>
    </xf>
    <xf numFmtId="167" fontId="2" fillId="2" borderId="0" xfId="1" applyNumberFormat="1" applyFont="1" applyFill="1"/>
    <xf numFmtId="165" fontId="2" fillId="2" borderId="0" xfId="0" applyNumberFormat="1" applyFont="1" applyFill="1"/>
    <xf numFmtId="0" fontId="2" fillId="2" borderId="0" xfId="0" applyFont="1" applyFill="1"/>
    <xf numFmtId="0" fontId="0" fillId="0" borderId="0" xfId="0" applyAlignment="1">
      <alignment wrapText="1"/>
    </xf>
    <xf numFmtId="0" fontId="0" fillId="12" borderId="0" xfId="0" applyFill="1"/>
    <xf numFmtId="0" fontId="0" fillId="0" borderId="3" xfId="0" applyFill="1" applyBorder="1" applyAlignment="1">
      <alignment horizontal="left"/>
    </xf>
    <xf numFmtId="10" fontId="0" fillId="0" borderId="3" xfId="0" applyNumberFormat="1" applyFill="1" applyBorder="1"/>
    <xf numFmtId="0" fontId="0" fillId="0" borderId="0" xfId="0" applyFill="1" applyBorder="1" applyAlignment="1">
      <alignment horizontal="left"/>
    </xf>
    <xf numFmtId="0" fontId="0" fillId="13" borderId="13" xfId="0" applyFill="1" applyBorder="1"/>
    <xf numFmtId="10" fontId="0" fillId="2" borderId="14" xfId="0" applyNumberFormat="1" applyFill="1" applyBorder="1"/>
    <xf numFmtId="0" fontId="0" fillId="13" borderId="23" xfId="0" applyFill="1" applyBorder="1"/>
    <xf numFmtId="1" fontId="33" fillId="0" borderId="42" xfId="0" applyNumberFormat="1" applyFont="1" applyBorder="1" applyAlignment="1">
      <alignment horizontal="center" vertical="top" wrapText="1"/>
    </xf>
    <xf numFmtId="0" fontId="23" fillId="13" borderId="17" xfId="0" applyFont="1" applyFill="1" applyBorder="1" applyAlignment="1">
      <alignment horizontal="right"/>
    </xf>
    <xf numFmtId="164" fontId="1" fillId="13" borderId="0" xfId="1" applyNumberFormat="1" applyFont="1" applyFill="1" applyBorder="1"/>
    <xf numFmtId="0" fontId="0" fillId="13" borderId="24" xfId="0" applyFill="1" applyBorder="1"/>
    <xf numFmtId="0" fontId="9" fillId="0" borderId="42" xfId="0" applyFont="1" applyBorder="1" applyAlignment="1">
      <alignment horizontal="left" vertical="top" wrapText="1"/>
    </xf>
    <xf numFmtId="3" fontId="33" fillId="0" borderId="42" xfId="0" applyNumberFormat="1" applyFont="1" applyBorder="1" applyAlignment="1">
      <alignment horizontal="center" vertical="top" wrapText="1"/>
    </xf>
    <xf numFmtId="0" fontId="34" fillId="14" borderId="0" xfId="0" applyFont="1" applyFill="1"/>
    <xf numFmtId="0" fontId="0" fillId="13" borderId="17" xfId="0" applyFill="1" applyBorder="1"/>
    <xf numFmtId="0" fontId="30" fillId="14" borderId="43" xfId="0" applyFont="1" applyFill="1" applyBorder="1" applyAlignment="1">
      <alignment horizontal="right"/>
    </xf>
    <xf numFmtId="0" fontId="30" fillId="14" borderId="44" xfId="0" applyFont="1" applyFill="1" applyBorder="1" applyAlignment="1"/>
    <xf numFmtId="0" fontId="30" fillId="14" borderId="44" xfId="0" applyFont="1" applyFill="1" applyBorder="1" applyAlignment="1">
      <alignment horizontal="center"/>
    </xf>
    <xf numFmtId="0" fontId="30" fillId="14" borderId="45" xfId="0" applyFont="1" applyFill="1" applyBorder="1" applyAlignment="1">
      <alignment horizontal="center"/>
    </xf>
    <xf numFmtId="0" fontId="30" fillId="14" borderId="43" xfId="0" applyFont="1" applyFill="1" applyBorder="1" applyAlignment="1">
      <alignment horizontal="center"/>
    </xf>
    <xf numFmtId="0" fontId="30" fillId="14" borderId="46" xfId="0" applyFont="1" applyFill="1" applyBorder="1" applyAlignment="1">
      <alignment horizontal="center"/>
    </xf>
    <xf numFmtId="49" fontId="30" fillId="14" borderId="24" xfId="0" applyNumberFormat="1" applyFont="1" applyFill="1" applyBorder="1" applyAlignment="1">
      <alignment horizontal="center"/>
    </xf>
    <xf numFmtId="3" fontId="0" fillId="14" borderId="0" xfId="0" applyNumberFormat="1" applyFill="1"/>
    <xf numFmtId="0" fontId="0" fillId="5" borderId="31" xfId="0" applyFill="1" applyBorder="1"/>
    <xf numFmtId="164" fontId="1" fillId="0" borderId="20" xfId="1" applyNumberFormat="1" applyFont="1" applyBorder="1"/>
    <xf numFmtId="0" fontId="23" fillId="13" borderId="2" xfId="0" applyFont="1" applyFill="1" applyBorder="1" applyAlignment="1">
      <alignment horizontal="right"/>
    </xf>
    <xf numFmtId="164" fontId="1" fillId="13" borderId="3" xfId="1" applyNumberFormat="1" applyFont="1" applyFill="1" applyBorder="1"/>
    <xf numFmtId="0" fontId="0" fillId="13" borderId="21" xfId="0" applyFill="1" applyBorder="1"/>
    <xf numFmtId="0" fontId="30" fillId="5" borderId="31" xfId="0" applyFont="1" applyFill="1" applyBorder="1"/>
    <xf numFmtId="1" fontId="0" fillId="0" borderId="20" xfId="0" applyNumberFormat="1" applyBorder="1"/>
    <xf numFmtId="164" fontId="1" fillId="2" borderId="20" xfId="1" applyNumberFormat="1" applyFont="1" applyFill="1" applyBorder="1"/>
    <xf numFmtId="164" fontId="23" fillId="0" borderId="20" xfId="1" applyNumberFormat="1" applyFont="1" applyFill="1" applyBorder="1"/>
    <xf numFmtId="0" fontId="32" fillId="0" borderId="31" xfId="0" applyFont="1" applyBorder="1"/>
    <xf numFmtId="164" fontId="23" fillId="2" borderId="20" xfId="1" applyNumberFormat="1" applyFont="1" applyFill="1" applyBorder="1"/>
    <xf numFmtId="0" fontId="32" fillId="0" borderId="31" xfId="0" applyFont="1" applyFill="1" applyBorder="1"/>
    <xf numFmtId="0" fontId="32" fillId="5" borderId="31" xfId="0" applyFont="1" applyFill="1" applyBorder="1"/>
    <xf numFmtId="164" fontId="23" fillId="0" borderId="20" xfId="0" applyNumberFormat="1" applyFont="1" applyFill="1" applyBorder="1"/>
    <xf numFmtId="164" fontId="23" fillId="0" borderId="20" xfId="0" applyNumberFormat="1" applyFont="1" applyBorder="1"/>
    <xf numFmtId="164" fontId="23" fillId="2" borderId="20" xfId="0" applyNumberFormat="1" applyFont="1" applyFill="1" applyBorder="1"/>
    <xf numFmtId="0" fontId="32" fillId="0" borderId="0" xfId="0" applyFont="1" applyFill="1" applyBorder="1"/>
    <xf numFmtId="165" fontId="0" fillId="0" borderId="0" xfId="0" applyNumberFormat="1" applyBorder="1"/>
    <xf numFmtId="49" fontId="30" fillId="14" borderId="47" xfId="0" applyNumberFormat="1" applyFont="1" applyFill="1" applyBorder="1" applyAlignment="1">
      <alignment horizontal="center"/>
    </xf>
    <xf numFmtId="3" fontId="30" fillId="14" borderId="22" xfId="0" applyNumberFormat="1" applyFont="1" applyFill="1" applyBorder="1" applyAlignment="1">
      <alignment horizontal="center"/>
    </xf>
    <xf numFmtId="0" fontId="35" fillId="0" borderId="0" xfId="5" applyAlignment="1">
      <alignment wrapText="1"/>
    </xf>
    <xf numFmtId="0" fontId="3" fillId="0" borderId="0" xfId="4" applyFont="1" applyAlignment="1">
      <alignment wrapText="1"/>
    </xf>
    <xf numFmtId="164" fontId="29" fillId="0" borderId="0" xfId="0" applyNumberFormat="1" applyFont="1"/>
    <xf numFmtId="0" fontId="35" fillId="0" borderId="0" xfId="5" applyAlignment="1">
      <alignment wrapText="1"/>
    </xf>
    <xf numFmtId="0" fontId="0" fillId="0" borderId="0" xfId="0" applyAlignment="1">
      <alignment horizontal="center" wrapText="1"/>
    </xf>
    <xf numFmtId="0" fontId="3" fillId="0" borderId="0" xfId="0" applyFont="1" applyAlignment="1">
      <alignment horizontal="center" vertical="center" wrapText="1"/>
    </xf>
    <xf numFmtId="49" fontId="3" fillId="0" borderId="0" xfId="0" applyNumberFormat="1" applyFont="1" applyAlignment="1">
      <alignment vertical="center" wrapText="1"/>
    </xf>
    <xf numFmtId="0" fontId="3" fillId="0" borderId="0" xfId="0" applyFont="1" applyFill="1" applyAlignment="1">
      <alignment horizontal="center" vertical="center" wrapText="1"/>
    </xf>
    <xf numFmtId="0" fontId="29" fillId="0" borderId="0" xfId="0" applyFont="1" applyAlignment="1">
      <alignment horizontal="center" vertical="center"/>
    </xf>
    <xf numFmtId="0" fontId="29" fillId="0" borderId="0" xfId="0" applyFont="1" applyAlignment="1">
      <alignment horizontal="center" vertical="center"/>
    </xf>
    <xf numFmtId="180" fontId="0" fillId="0" borderId="0" xfId="0" applyNumberFormat="1"/>
    <xf numFmtId="0" fontId="36" fillId="0" borderId="0" xfId="0" applyFont="1"/>
    <xf numFmtId="0" fontId="37" fillId="0" borderId="0" xfId="0" applyFont="1" applyAlignment="1">
      <alignment horizontal="right" wrapText="1"/>
    </xf>
    <xf numFmtId="0" fontId="38" fillId="0" borderId="0" xfId="0" applyFont="1" applyAlignment="1">
      <alignment horizontal="right" wrapText="1"/>
    </xf>
    <xf numFmtId="49" fontId="0" fillId="0" borderId="0" xfId="0" applyNumberFormat="1" applyAlignment="1">
      <alignment wrapText="1"/>
    </xf>
    <xf numFmtId="0" fontId="0" fillId="0" borderId="3" xfId="0" applyBorder="1" applyAlignment="1">
      <alignment horizontal="center" wrapText="1"/>
    </xf>
    <xf numFmtId="49" fontId="39"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49" fontId="3" fillId="0" borderId="0" xfId="0" applyNumberFormat="1" applyFont="1" applyAlignment="1">
      <alignment horizontal="center" wrapText="1"/>
    </xf>
    <xf numFmtId="49" fontId="40" fillId="0" borderId="0" xfId="0" applyNumberFormat="1" applyFont="1" applyAlignment="1">
      <alignment vertical="top" wrapText="1"/>
    </xf>
    <xf numFmtId="0" fontId="5" fillId="0" borderId="0" xfId="0" applyFont="1"/>
    <xf numFmtId="0" fontId="23" fillId="0" borderId="0" xfId="0" applyFont="1" applyAlignment="1">
      <alignment horizontal="right"/>
    </xf>
    <xf numFmtId="0" fontId="37" fillId="0" borderId="0" xfId="0" applyFont="1" applyAlignment="1">
      <alignment horizontal="right"/>
    </xf>
    <xf numFmtId="0" fontId="38" fillId="0" borderId="0" xfId="0" applyFont="1" applyAlignment="1">
      <alignment horizontal="right"/>
    </xf>
    <xf numFmtId="17" fontId="0" fillId="0" borderId="0" xfId="0" applyNumberFormat="1"/>
    <xf numFmtId="2" fontId="8" fillId="0" borderId="0" xfId="0" applyNumberFormat="1" applyFont="1"/>
    <xf numFmtId="2" fontId="0" fillId="0" borderId="0" xfId="0" applyNumberFormat="1"/>
    <xf numFmtId="17" fontId="0" fillId="0" borderId="0" xfId="0" applyNumberFormat="1" applyAlignment="1">
      <alignment vertical="center" wrapText="1"/>
    </xf>
    <xf numFmtId="0" fontId="23" fillId="0" borderId="0" xfId="0" applyFont="1" applyAlignment="1"/>
    <xf numFmtId="0" fontId="37" fillId="0" borderId="0" xfId="0" applyFont="1" applyAlignment="1"/>
    <xf numFmtId="0" fontId="38" fillId="0" borderId="0" xfId="0" applyFont="1" applyAlignment="1"/>
    <xf numFmtId="181" fontId="23" fillId="0" borderId="0" xfId="0" applyNumberFormat="1" applyFont="1" applyAlignment="1"/>
    <xf numFmtId="181" fontId="37" fillId="0" borderId="0" xfId="0" applyNumberFormat="1" applyFont="1" applyAlignment="1"/>
    <xf numFmtId="181" fontId="38" fillId="0" borderId="0" xfId="0" applyNumberFormat="1" applyFont="1" applyAlignment="1"/>
    <xf numFmtId="17" fontId="0" fillId="2" borderId="0" xfId="0" applyNumberFormat="1" applyFill="1"/>
    <xf numFmtId="49" fontId="0" fillId="2" borderId="0" xfId="0" applyNumberFormat="1" applyFill="1" applyAlignment="1">
      <alignment vertical="center" wrapText="1"/>
    </xf>
    <xf numFmtId="0" fontId="0" fillId="2" borderId="0" xfId="0" applyFill="1"/>
    <xf numFmtId="165" fontId="1" fillId="2" borderId="0" xfId="3" applyNumberFormat="1" applyFont="1" applyFill="1"/>
    <xf numFmtId="2" fontId="0" fillId="2" borderId="0" xfId="0" applyNumberFormat="1" applyFill="1"/>
    <xf numFmtId="165" fontId="1" fillId="0" borderId="0" xfId="3" applyNumberFormat="1" applyFont="1" applyAlignment="1">
      <alignment horizontal="center" vertical="center" wrapText="1"/>
    </xf>
    <xf numFmtId="49" fontId="0" fillId="0" borderId="0" xfId="0" applyNumberFormat="1" applyFont="1" applyAlignment="1">
      <alignment horizontal="center" vertical="center" wrapText="1"/>
    </xf>
    <xf numFmtId="181" fontId="37" fillId="0" borderId="0" xfId="0" applyNumberFormat="1" applyFont="1" applyAlignment="1">
      <alignment horizontal="left"/>
    </xf>
    <xf numFmtId="182" fontId="23" fillId="0" borderId="0" xfId="0" applyNumberFormat="1" applyFont="1" applyAlignment="1"/>
    <xf numFmtId="182" fontId="38" fillId="0" borderId="0" xfId="0" applyNumberFormat="1" applyFont="1" applyAlignment="1"/>
    <xf numFmtId="0" fontId="8" fillId="0" borderId="0" xfId="0" applyFont="1"/>
    <xf numFmtId="0" fontId="3" fillId="0" borderId="0" xfId="0" applyFont="1" applyAlignment="1">
      <alignment wrapText="1"/>
    </xf>
    <xf numFmtId="3" fontId="0" fillId="0" borderId="0" xfId="0" applyNumberFormat="1" applyAlignment="1">
      <alignment vertical="center"/>
    </xf>
    <xf numFmtId="17" fontId="0" fillId="0" borderId="0" xfId="0" applyNumberFormat="1" applyFill="1"/>
    <xf numFmtId="2" fontId="0" fillId="0" borderId="0" xfId="0" applyNumberFormat="1" applyFill="1"/>
    <xf numFmtId="0" fontId="0" fillId="2" borderId="0" xfId="0" applyFill="1" applyAlignment="1">
      <alignment wrapText="1"/>
    </xf>
    <xf numFmtId="1" fontId="0" fillId="2" borderId="0" xfId="0" applyNumberFormat="1" applyFill="1"/>
    <xf numFmtId="2" fontId="8" fillId="2" borderId="0" xfId="0" applyNumberFormat="1" applyFont="1" applyFill="1" applyAlignment="1">
      <alignment wrapText="1"/>
    </xf>
    <xf numFmtId="0" fontId="8" fillId="2" borderId="0" xfId="0" applyFont="1" applyFill="1"/>
    <xf numFmtId="49" fontId="0" fillId="0" borderId="0" xfId="0" applyNumberFormat="1" applyFill="1" applyAlignment="1">
      <alignment vertical="center" wrapText="1"/>
    </xf>
    <xf numFmtId="0" fontId="0" fillId="0" borderId="0" xfId="0" applyFill="1" applyAlignment="1">
      <alignment wrapText="1"/>
    </xf>
    <xf numFmtId="2" fontId="8" fillId="0" borderId="0" xfId="0" applyNumberFormat="1" applyFont="1" applyFill="1" applyAlignment="1">
      <alignment wrapText="1"/>
    </xf>
    <xf numFmtId="1" fontId="2" fillId="0" borderId="0" xfId="0" applyNumberFormat="1" applyFont="1" applyFill="1" applyAlignment="1">
      <alignment wrapText="1"/>
    </xf>
    <xf numFmtId="1" fontId="8" fillId="0" borderId="0" xfId="0" applyNumberFormat="1" applyFont="1" applyFill="1" applyAlignment="1">
      <alignment wrapText="1"/>
    </xf>
    <xf numFmtId="2" fontId="8" fillId="0" borderId="0" xfId="0" applyNumberFormat="1" applyFont="1" applyFill="1"/>
    <xf numFmtId="1" fontId="8" fillId="0" borderId="0" xfId="0" applyNumberFormat="1" applyFont="1" applyFill="1"/>
    <xf numFmtId="1" fontId="2" fillId="0" borderId="0" xfId="0" applyNumberFormat="1" applyFont="1"/>
    <xf numFmtId="2" fontId="2" fillId="0" borderId="0" xfId="0" applyNumberFormat="1" applyFont="1" applyFill="1"/>
    <xf numFmtId="2" fontId="2" fillId="0" borderId="0" xfId="0" applyNumberFormat="1" applyFont="1" applyFill="1" applyAlignment="1">
      <alignment wrapText="1"/>
    </xf>
    <xf numFmtId="1" fontId="2" fillId="0" borderId="0" xfId="0" applyNumberFormat="1" applyFont="1" applyFill="1"/>
    <xf numFmtId="183" fontId="2" fillId="0" borderId="0" xfId="0" applyNumberFormat="1" applyFont="1"/>
    <xf numFmtId="2" fontId="2" fillId="0" borderId="0" xfId="0" applyNumberFormat="1" applyFont="1"/>
    <xf numFmtId="165" fontId="2" fillId="0" borderId="0" xfId="0" applyNumberFormat="1" applyFont="1" applyFill="1"/>
    <xf numFmtId="165" fontId="1" fillId="0" borderId="0" xfId="3" applyNumberFormat="1" applyFont="1" applyAlignment="1">
      <alignment wrapText="1"/>
    </xf>
    <xf numFmtId="49" fontId="2" fillId="0" borderId="0" xfId="0" applyNumberFormat="1" applyFont="1" applyAlignment="1">
      <alignment vertical="center"/>
    </xf>
    <xf numFmtId="49" fontId="8" fillId="0" borderId="0" xfId="0" applyNumberFormat="1" applyFont="1" applyAlignment="1">
      <alignment vertical="center"/>
    </xf>
    <xf numFmtId="49" fontId="0" fillId="0" borderId="0" xfId="0" applyNumberFormat="1" applyAlignment="1">
      <alignment vertical="center"/>
    </xf>
    <xf numFmtId="0" fontId="0" fillId="0" borderId="0" xfId="0" applyAlignment="1"/>
    <xf numFmtId="184" fontId="1" fillId="0" borderId="0" xfId="1" applyNumberFormat="1" applyFont="1"/>
    <xf numFmtId="0" fontId="41" fillId="0" borderId="0" xfId="6" applyAlignment="1" applyProtection="1">
      <alignment wrapText="1"/>
    </xf>
    <xf numFmtId="0" fontId="41" fillId="0" borderId="0" xfId="6" applyAlignment="1" applyProtection="1">
      <alignment wrapText="1"/>
    </xf>
    <xf numFmtId="0" fontId="3" fillId="0" borderId="0" xfId="0" applyFont="1" applyAlignment="1"/>
    <xf numFmtId="0" fontId="3" fillId="0" borderId="0" xfId="0" applyFont="1" applyFill="1" applyAlignment="1">
      <alignment wrapText="1"/>
    </xf>
    <xf numFmtId="0" fontId="35" fillId="0" borderId="0" xfId="5" applyAlignment="1"/>
    <xf numFmtId="0" fontId="35" fillId="0" borderId="0" xfId="5" applyFill="1" applyAlignment="1">
      <alignment wrapText="1"/>
    </xf>
    <xf numFmtId="0" fontId="41" fillId="0" borderId="0" xfId="6" applyAlignment="1" applyProtection="1"/>
    <xf numFmtId="185" fontId="10" fillId="0" borderId="0" xfId="2" applyNumberFormat="1" applyFont="1"/>
    <xf numFmtId="0" fontId="36" fillId="0" borderId="3" xfId="0" applyFont="1" applyBorder="1" applyAlignment="1">
      <alignment horizontal="center"/>
    </xf>
    <xf numFmtId="0" fontId="36" fillId="0" borderId="0" xfId="0" applyFont="1" applyBorder="1" applyAlignment="1">
      <alignment horizontal="center"/>
    </xf>
    <xf numFmtId="0" fontId="3" fillId="0" borderId="3" xfId="0" applyFont="1" applyFill="1" applyBorder="1" applyAlignment="1">
      <alignment horizontal="center"/>
    </xf>
    <xf numFmtId="0" fontId="3" fillId="0" borderId="0" xfId="0" applyFont="1" applyFill="1" applyBorder="1" applyAlignment="1">
      <alignment horizontal="center"/>
    </xf>
    <xf numFmtId="186" fontId="10" fillId="0" borderId="0" xfId="0" applyNumberFormat="1" applyFont="1" applyAlignment="1">
      <alignment horizontal="left" vertical="top"/>
    </xf>
    <xf numFmtId="165" fontId="10" fillId="0" borderId="0" xfId="3" applyNumberFormat="1" applyFont="1" applyAlignment="1">
      <alignment horizontal="center" vertical="top"/>
    </xf>
    <xf numFmtId="0" fontId="3" fillId="0" borderId="0" xfId="0" applyFont="1" applyAlignment="1">
      <alignment horizontal="center" wrapText="1"/>
    </xf>
    <xf numFmtId="0" fontId="3" fillId="0" borderId="0" xfId="0" applyFont="1" applyBorder="1" applyAlignment="1">
      <alignment horizontal="center" wrapText="1"/>
    </xf>
    <xf numFmtId="0" fontId="3" fillId="0" borderId="0" xfId="0" applyFont="1" applyFill="1" applyBorder="1" applyAlignment="1">
      <alignment horizontal="center" wrapText="1"/>
    </xf>
    <xf numFmtId="49" fontId="3" fillId="0" borderId="3" xfId="0" applyNumberFormat="1" applyFont="1" applyFill="1" applyBorder="1" applyAlignment="1">
      <alignment horizontal="center"/>
    </xf>
    <xf numFmtId="0" fontId="3" fillId="0" borderId="3" xfId="0" applyFont="1" applyBorder="1" applyAlignment="1">
      <alignment horizontal="center"/>
    </xf>
    <xf numFmtId="0" fontId="3" fillId="0" borderId="3" xfId="0" applyFont="1" applyFill="1" applyBorder="1" applyAlignment="1">
      <alignment horizontal="center"/>
    </xf>
    <xf numFmtId="49" fontId="3" fillId="0" borderId="3" xfId="0" applyNumberFormat="1" applyFont="1" applyBorder="1" applyAlignment="1">
      <alignment horizontal="center"/>
    </xf>
    <xf numFmtId="0" fontId="2" fillId="0" borderId="3" xfId="0" applyFont="1" applyBorder="1"/>
    <xf numFmtId="165" fontId="3" fillId="0" borderId="0" xfId="0" applyNumberFormat="1" applyFont="1" applyFill="1" applyBorder="1" applyAlignment="1">
      <alignment horizontal="right"/>
    </xf>
    <xf numFmtId="165" fontId="3" fillId="0" borderId="0" xfId="0" applyNumberFormat="1" applyFont="1" applyFill="1" applyBorder="1" applyAlignment="1">
      <alignment horizontal="center"/>
    </xf>
    <xf numFmtId="165" fontId="3" fillId="0" borderId="14" xfId="0" applyNumberFormat="1" applyFont="1" applyFill="1" applyBorder="1" applyAlignment="1">
      <alignment horizontal="center"/>
    </xf>
    <xf numFmtId="10" fontId="3" fillId="0" borderId="14" xfId="0" applyNumberFormat="1" applyFont="1" applyFill="1" applyBorder="1" applyAlignment="1">
      <alignment horizontal="center"/>
    </xf>
    <xf numFmtId="6" fontId="0" fillId="0" borderId="0" xfId="0" applyNumberFormat="1" applyFill="1"/>
    <xf numFmtId="165" fontId="3" fillId="0" borderId="0" xfId="3" applyNumberFormat="1" applyFont="1" applyFill="1" applyBorder="1" applyAlignment="1">
      <alignment horizontal="center"/>
    </xf>
    <xf numFmtId="185" fontId="0" fillId="0" borderId="0" xfId="0" applyNumberFormat="1" applyFill="1"/>
    <xf numFmtId="49" fontId="3" fillId="0" borderId="0" xfId="0" applyNumberFormat="1" applyFont="1" applyBorder="1" applyAlignment="1">
      <alignment horizontal="center"/>
    </xf>
    <xf numFmtId="165" fontId="10" fillId="0" borderId="0" xfId="0" applyNumberFormat="1" applyFont="1" applyBorder="1" applyAlignment="1">
      <alignment horizontal="left"/>
    </xf>
    <xf numFmtId="165" fontId="10" fillId="0" borderId="0" xfId="0" applyNumberFormat="1" applyFont="1" applyBorder="1" applyAlignment="1">
      <alignment horizontal="right"/>
    </xf>
    <xf numFmtId="165" fontId="3" fillId="0" borderId="0" xfId="0" applyNumberFormat="1" applyFont="1" applyBorder="1" applyAlignment="1">
      <alignment horizontal="center"/>
    </xf>
    <xf numFmtId="10" fontId="3" fillId="0" borderId="0" xfId="0" applyNumberFormat="1" applyFont="1" applyFill="1" applyBorder="1" applyAlignment="1">
      <alignment horizontal="center"/>
    </xf>
    <xf numFmtId="10" fontId="1" fillId="0" borderId="0" xfId="3" applyNumberFormat="1" applyFont="1" applyBorder="1"/>
    <xf numFmtId="0" fontId="10" fillId="0" borderId="3" xfId="0" applyFont="1" applyFill="1" applyBorder="1" applyAlignment="1">
      <alignment horizontal="center"/>
    </xf>
    <xf numFmtId="3" fontId="20" fillId="0" borderId="0" xfId="0" applyNumberFormat="1" applyFont="1" applyBorder="1" applyAlignment="1">
      <alignment horizontal="left" vertical="top" wrapText="1" indent="1"/>
    </xf>
    <xf numFmtId="3" fontId="20" fillId="0" borderId="0" xfId="0" applyNumberFormat="1" applyFont="1" applyBorder="1" applyAlignment="1">
      <alignment horizontal="left" vertical="top" wrapText="1" indent="3"/>
    </xf>
    <xf numFmtId="0" fontId="10" fillId="0" borderId="20" xfId="0" applyFont="1" applyFill="1" applyBorder="1" applyAlignment="1">
      <alignment horizontal="center" wrapText="1"/>
    </xf>
    <xf numFmtId="3" fontId="3" fillId="0" borderId="0" xfId="0" applyNumberFormat="1" applyFont="1"/>
    <xf numFmtId="165" fontId="0" fillId="0" borderId="0" xfId="0" applyNumberFormat="1" applyFont="1"/>
    <xf numFmtId="3" fontId="0" fillId="0" borderId="0" xfId="0" applyNumberFormat="1" applyFont="1"/>
    <xf numFmtId="3" fontId="3" fillId="0" borderId="0" xfId="0" applyNumberFormat="1" applyFont="1" applyFill="1" applyBorder="1"/>
    <xf numFmtId="3" fontId="0" fillId="15" borderId="48" xfId="0" applyNumberFormat="1" applyFill="1" applyBorder="1"/>
    <xf numFmtId="3" fontId="0" fillId="15" borderId="49" xfId="0" applyNumberFormat="1" applyFill="1" applyBorder="1"/>
    <xf numFmtId="3" fontId="0" fillId="15" borderId="50" xfId="0" applyNumberFormat="1" applyFill="1" applyBorder="1"/>
    <xf numFmtId="10" fontId="0" fillId="0" borderId="0" xfId="0" applyNumberFormat="1" applyFont="1"/>
    <xf numFmtId="10" fontId="10" fillId="0" borderId="0" xfId="0" applyNumberFormat="1" applyFont="1" applyAlignment="1">
      <alignment horizontal="center"/>
    </xf>
    <xf numFmtId="3" fontId="10" fillId="0" borderId="0" xfId="0" applyNumberFormat="1" applyFont="1"/>
    <xf numFmtId="3" fontId="10" fillId="0" borderId="0" xfId="0" applyNumberFormat="1" applyFont="1" applyAlignment="1">
      <alignment horizontal="left"/>
    </xf>
    <xf numFmtId="3" fontId="10" fillId="0" borderId="0" xfId="0" applyNumberFormat="1" applyFont="1" applyFill="1"/>
    <xf numFmtId="3" fontId="10" fillId="0" borderId="0" xfId="0" applyNumberFormat="1" applyFont="1" applyFill="1" applyAlignment="1">
      <alignment horizontal="right"/>
    </xf>
    <xf numFmtId="3" fontId="0" fillId="0" borderId="0" xfId="0" applyNumberFormat="1" applyBorder="1"/>
    <xf numFmtId="10" fontId="10" fillId="0" borderId="0" xfId="0" applyNumberFormat="1" applyFont="1" applyAlignment="1">
      <alignment horizontal="left"/>
    </xf>
    <xf numFmtId="3" fontId="0" fillId="0" borderId="0" xfId="0" applyNumberFormat="1" applyFont="1" applyBorder="1"/>
    <xf numFmtId="0" fontId="0" fillId="0" borderId="0" xfId="0" applyAlignment="1">
      <alignment horizontal="left" indent="2"/>
    </xf>
    <xf numFmtId="0" fontId="0" fillId="0" borderId="3" xfId="0" applyBorder="1" applyAlignment="1">
      <alignment horizontal="left" indent="2"/>
    </xf>
    <xf numFmtId="3" fontId="0" fillId="0" borderId="3" xfId="0" applyNumberFormat="1" applyBorder="1"/>
    <xf numFmtId="165" fontId="0" fillId="0" borderId="3" xfId="0" applyNumberFormat="1" applyBorder="1"/>
    <xf numFmtId="165" fontId="0" fillId="0" borderId="3" xfId="0" applyNumberFormat="1" applyFont="1" applyBorder="1"/>
    <xf numFmtId="3" fontId="0" fillId="0" borderId="3" xfId="0" applyNumberFormat="1" applyFont="1" applyBorder="1"/>
    <xf numFmtId="3" fontId="0" fillId="0" borderId="3" xfId="0" applyNumberFormat="1" applyFont="1" applyFill="1" applyBorder="1"/>
    <xf numFmtId="3" fontId="3" fillId="0" borderId="3" xfId="0" applyNumberFormat="1" applyFont="1" applyFill="1" applyBorder="1"/>
    <xf numFmtId="3" fontId="0" fillId="0" borderId="3" xfId="0" applyNumberFormat="1" applyFill="1" applyBorder="1"/>
    <xf numFmtId="0" fontId="3" fillId="0" borderId="0" xfId="0" applyFont="1" applyAlignment="1">
      <alignment horizontal="left" indent="2"/>
    </xf>
    <xf numFmtId="165" fontId="3" fillId="0" borderId="0" xfId="0" applyNumberFormat="1" applyFont="1"/>
    <xf numFmtId="10" fontId="3" fillId="0" borderId="0" xfId="0" applyNumberFormat="1" applyFont="1"/>
    <xf numFmtId="3" fontId="3" fillId="0" borderId="0" xfId="0" applyNumberFormat="1" applyFont="1" applyFill="1"/>
    <xf numFmtId="3" fontId="10" fillId="0" borderId="0" xfId="0" applyNumberFormat="1" applyFont="1" applyFill="1" applyBorder="1"/>
    <xf numFmtId="3" fontId="10" fillId="0" borderId="0" xfId="0" applyNumberFormat="1" applyFont="1" applyFill="1" applyBorder="1" applyAlignment="1">
      <alignment horizontal="right"/>
    </xf>
    <xf numFmtId="187" fontId="0" fillId="0" borderId="0" xfId="0" applyNumberFormat="1"/>
    <xf numFmtId="3" fontId="0" fillId="0" borderId="0" xfId="0" applyNumberFormat="1" applyFill="1" applyBorder="1"/>
    <xf numFmtId="165" fontId="0" fillId="0" borderId="0" xfId="0" applyNumberFormat="1" applyFill="1"/>
    <xf numFmtId="3" fontId="0" fillId="15" borderId="51" xfId="0" applyNumberFormat="1" applyFill="1" applyBorder="1"/>
    <xf numFmtId="3" fontId="0" fillId="15" borderId="52" xfId="0" applyNumberFormat="1" applyFill="1" applyBorder="1"/>
    <xf numFmtId="3" fontId="0" fillId="15" borderId="53" xfId="0" applyNumberFormat="1" applyFill="1" applyBorder="1"/>
    <xf numFmtId="41" fontId="0" fillId="0" borderId="0" xfId="0" applyNumberFormat="1"/>
    <xf numFmtId="3" fontId="0" fillId="15" borderId="54" xfId="0" applyNumberFormat="1" applyFill="1" applyBorder="1"/>
    <xf numFmtId="3" fontId="0" fillId="15" borderId="0" xfId="0" applyNumberFormat="1" applyFill="1" applyBorder="1"/>
    <xf numFmtId="3" fontId="0" fillId="15" borderId="55" xfId="0" applyNumberFormat="1" applyFill="1" applyBorder="1"/>
    <xf numFmtId="41" fontId="0" fillId="0" borderId="56" xfId="0" applyNumberFormat="1" applyBorder="1"/>
    <xf numFmtId="0" fontId="0" fillId="0" borderId="0" xfId="0" applyBorder="1" applyAlignment="1">
      <alignment horizontal="left" indent="1"/>
    </xf>
    <xf numFmtId="165" fontId="0" fillId="0" borderId="0" xfId="0" applyNumberFormat="1" applyFill="1" applyBorder="1"/>
    <xf numFmtId="165" fontId="0" fillId="0" borderId="0" xfId="0" applyNumberFormat="1" applyFont="1" applyBorder="1"/>
    <xf numFmtId="3" fontId="3" fillId="0" borderId="0" xfId="0" applyNumberFormat="1" applyFont="1" applyBorder="1"/>
    <xf numFmtId="0" fontId="0" fillId="0" borderId="3" xfId="0" applyBorder="1" applyAlignment="1">
      <alignment horizontal="left" indent="1"/>
    </xf>
    <xf numFmtId="3" fontId="3" fillId="0" borderId="3" xfId="0" applyNumberFormat="1" applyFont="1" applyBorder="1"/>
    <xf numFmtId="41" fontId="0" fillId="0" borderId="3" xfId="0" applyNumberFormat="1" applyBorder="1"/>
    <xf numFmtId="41" fontId="0" fillId="0" borderId="57" xfId="0" applyNumberFormat="1" applyBorder="1"/>
    <xf numFmtId="3" fontId="0" fillId="15" borderId="58" xfId="0" applyNumberFormat="1" applyFill="1" applyBorder="1"/>
    <xf numFmtId="3" fontId="0" fillId="15" borderId="59" xfId="0" applyNumberFormat="1" applyFill="1" applyBorder="1"/>
    <xf numFmtId="0" fontId="3" fillId="0" borderId="0" xfId="0" applyFont="1" applyAlignment="1">
      <alignment horizontal="left" indent="1"/>
    </xf>
    <xf numFmtId="165" fontId="3" fillId="0" borderId="0" xfId="0" applyNumberFormat="1" applyFont="1" applyBorder="1"/>
    <xf numFmtId="10" fontId="10" fillId="0" borderId="0" xfId="0" applyNumberFormat="1" applyFont="1" applyBorder="1" applyAlignment="1">
      <alignment horizontal="center"/>
    </xf>
    <xf numFmtId="3" fontId="10" fillId="0" borderId="0" xfId="0" applyNumberFormat="1" applyFont="1" applyBorder="1"/>
    <xf numFmtId="3" fontId="10" fillId="0" borderId="0" xfId="0" applyNumberFormat="1" applyFont="1" applyBorder="1" applyAlignment="1">
      <alignment horizontal="left"/>
    </xf>
    <xf numFmtId="10" fontId="10" fillId="0" borderId="3" xfId="0" applyNumberFormat="1" applyFont="1" applyBorder="1" applyAlignment="1">
      <alignment horizontal="left"/>
    </xf>
    <xf numFmtId="0" fontId="10" fillId="0" borderId="3" xfId="0" applyFont="1" applyBorder="1"/>
    <xf numFmtId="3" fontId="10" fillId="0" borderId="3" xfId="0" applyNumberFormat="1" applyFont="1" applyBorder="1"/>
    <xf numFmtId="3" fontId="10" fillId="0" borderId="3" xfId="0" applyNumberFormat="1" applyFont="1" applyBorder="1" applyAlignment="1">
      <alignment horizontal="left"/>
    </xf>
    <xf numFmtId="10" fontId="1" fillId="0" borderId="3" xfId="3" applyNumberFormat="1" applyFont="1" applyBorder="1"/>
    <xf numFmtId="0" fontId="0" fillId="0" borderId="3" xfId="0" applyFill="1" applyBorder="1"/>
    <xf numFmtId="3" fontId="10" fillId="0" borderId="3" xfId="0" applyNumberFormat="1" applyFont="1" applyFill="1" applyBorder="1"/>
    <xf numFmtId="0" fontId="3" fillId="0" borderId="14" xfId="0" applyFont="1" applyBorder="1"/>
    <xf numFmtId="3" fontId="3" fillId="0" borderId="14" xfId="0" applyNumberFormat="1" applyFont="1" applyBorder="1"/>
    <xf numFmtId="165" fontId="3" fillId="0" borderId="14" xfId="0" applyNumberFormat="1" applyFont="1" applyBorder="1"/>
    <xf numFmtId="41" fontId="0" fillId="0" borderId="0" xfId="0" applyNumberFormat="1" applyBorder="1"/>
    <xf numFmtId="0" fontId="3" fillId="0" borderId="32" xfId="0" applyFont="1" applyBorder="1"/>
    <xf numFmtId="3" fontId="3" fillId="0" borderId="32" xfId="0" applyNumberFormat="1" applyFont="1" applyBorder="1"/>
    <xf numFmtId="10" fontId="0" fillId="0" borderId="32" xfId="0" applyNumberFormat="1" applyBorder="1"/>
    <xf numFmtId="165" fontId="0" fillId="0" borderId="32" xfId="0" applyNumberFormat="1" applyBorder="1"/>
    <xf numFmtId="165" fontId="3" fillId="0" borderId="32" xfId="0" applyNumberFormat="1" applyFont="1" applyBorder="1"/>
    <xf numFmtId="3" fontId="3" fillId="0" borderId="32" xfId="0" applyNumberFormat="1" applyFont="1" applyFill="1" applyBorder="1"/>
    <xf numFmtId="165" fontId="10" fillId="0" borderId="0" xfId="0" applyNumberFormat="1" applyFont="1"/>
    <xf numFmtId="3" fontId="8" fillId="0" borderId="3" xfId="0" applyNumberFormat="1" applyFont="1" applyFill="1" applyBorder="1" applyAlignment="1" applyProtection="1"/>
    <xf numFmtId="3" fontId="3" fillId="0" borderId="14" xfId="0" applyNumberFormat="1" applyFont="1" applyFill="1" applyBorder="1"/>
    <xf numFmtId="3" fontId="0" fillId="0" borderId="14" xfId="0" applyNumberFormat="1" applyFont="1" applyFill="1" applyBorder="1"/>
    <xf numFmtId="41" fontId="0" fillId="0" borderId="26" xfId="0" applyNumberFormat="1" applyBorder="1"/>
    <xf numFmtId="41" fontId="0" fillId="0" borderId="60" xfId="0" applyNumberFormat="1" applyBorder="1"/>
    <xf numFmtId="3" fontId="8" fillId="0" borderId="0" xfId="0" applyNumberFormat="1" applyFont="1" applyFill="1" applyBorder="1" applyAlignment="1" applyProtection="1"/>
    <xf numFmtId="3" fontId="0" fillId="0" borderId="32" xfId="0" applyNumberFormat="1" applyFont="1" applyFill="1" applyBorder="1"/>
    <xf numFmtId="0" fontId="0" fillId="0" borderId="0" xfId="0" applyFont="1" applyFill="1" applyBorder="1"/>
    <xf numFmtId="0" fontId="3" fillId="0" borderId="38" xfId="0" applyFont="1" applyBorder="1"/>
    <xf numFmtId="3" fontId="3" fillId="0" borderId="38" xfId="0" applyNumberFormat="1" applyFont="1" applyBorder="1"/>
    <xf numFmtId="10" fontId="0" fillId="0" borderId="38" xfId="0" applyNumberFormat="1" applyBorder="1"/>
    <xf numFmtId="165" fontId="0" fillId="0" borderId="38" xfId="0" applyNumberFormat="1" applyBorder="1"/>
    <xf numFmtId="165" fontId="3" fillId="0" borderId="38" xfId="0" applyNumberFormat="1" applyFont="1" applyBorder="1"/>
    <xf numFmtId="0" fontId="0" fillId="0" borderId="38" xfId="0" applyBorder="1"/>
    <xf numFmtId="3" fontId="3" fillId="0" borderId="38" xfId="0" applyNumberFormat="1" applyFont="1" applyFill="1" applyBorder="1"/>
    <xf numFmtId="3" fontId="0" fillId="0" borderId="38" xfId="0" applyNumberFormat="1" applyFont="1" applyFill="1" applyBorder="1"/>
    <xf numFmtId="0" fontId="3" fillId="0" borderId="3" xfId="0" applyFont="1" applyFill="1" applyBorder="1"/>
    <xf numFmtId="0" fontId="3" fillId="0" borderId="3" xfId="0" applyFont="1" applyFill="1" applyBorder="1" applyAlignment="1">
      <alignment horizontal="center" wrapText="1"/>
    </xf>
    <xf numFmtId="0" fontId="41" fillId="0" borderId="0" xfId="6" applyFill="1" applyAlignment="1" applyProtection="1"/>
    <xf numFmtId="188" fontId="0" fillId="0" borderId="0" xfId="0" applyNumberFormat="1" applyFill="1"/>
    <xf numFmtId="188" fontId="0" fillId="0" borderId="3" xfId="0" applyNumberFormat="1" applyFill="1" applyBorder="1"/>
    <xf numFmtId="0" fontId="0" fillId="0" borderId="14" xfId="0" applyFill="1" applyBorder="1"/>
    <xf numFmtId="188" fontId="0" fillId="0" borderId="0" xfId="0" applyNumberFormat="1" applyFill="1" applyBorder="1"/>
    <xf numFmtId="0" fontId="3" fillId="0" borderId="32" xfId="0" applyFont="1" applyFill="1" applyBorder="1"/>
    <xf numFmtId="188" fontId="3" fillId="0" borderId="32" xfId="0" applyNumberFormat="1" applyFont="1" applyFill="1" applyBorder="1"/>
    <xf numFmtId="0" fontId="9" fillId="0" borderId="61" xfId="0" applyFont="1" applyBorder="1" applyAlignment="1">
      <alignment horizontal="left" vertical="top" wrapText="1"/>
    </xf>
    <xf numFmtId="0" fontId="20" fillId="0" borderId="62" xfId="0" applyFont="1" applyBorder="1" applyAlignment="1">
      <alignment horizontal="center" vertical="top" wrapText="1"/>
    </xf>
    <xf numFmtId="0" fontId="20" fillId="0" borderId="63" xfId="0" applyFont="1" applyBorder="1" applyAlignment="1">
      <alignment horizontal="center" vertical="top" wrapText="1"/>
    </xf>
    <xf numFmtId="0" fontId="20" fillId="0" borderId="64" xfId="0" applyFont="1" applyBorder="1" applyAlignment="1">
      <alignment horizontal="center" vertical="top" wrapText="1"/>
    </xf>
    <xf numFmtId="0" fontId="20" fillId="6" borderId="63" xfId="0" applyFont="1" applyFill="1" applyBorder="1" applyAlignment="1">
      <alignment horizontal="center" vertical="top" wrapText="1"/>
    </xf>
    <xf numFmtId="0" fontId="20" fillId="6" borderId="65" xfId="0" applyFont="1" applyFill="1" applyBorder="1" applyAlignment="1">
      <alignment horizontal="center" vertical="top" wrapText="1"/>
    </xf>
    <xf numFmtId="0" fontId="20" fillId="6" borderId="64" xfId="0" applyFont="1" applyFill="1" applyBorder="1" applyAlignment="1">
      <alignment horizontal="center" vertical="top" wrapText="1"/>
    </xf>
    <xf numFmtId="0" fontId="20" fillId="0" borderId="63" xfId="0" applyFont="1" applyBorder="1" applyAlignment="1">
      <alignment horizontal="center" vertical="top" wrapText="1"/>
    </xf>
    <xf numFmtId="0" fontId="20" fillId="0" borderId="66" xfId="0" applyFont="1" applyBorder="1" applyAlignment="1">
      <alignment horizontal="left" vertical="center" wrapText="1"/>
    </xf>
    <xf numFmtId="0" fontId="20" fillId="0" borderId="67" xfId="0" applyFont="1" applyBorder="1" applyAlignment="1">
      <alignment horizontal="left" vertical="center" wrapText="1"/>
    </xf>
    <xf numFmtId="0" fontId="20" fillId="0" borderId="67" xfId="0" applyFont="1" applyBorder="1" applyAlignment="1">
      <alignment horizontal="center" vertical="top" wrapText="1"/>
    </xf>
    <xf numFmtId="0" fontId="20" fillId="0" borderId="68" xfId="0" applyFont="1" applyBorder="1" applyAlignment="1">
      <alignment horizontal="center" vertical="top" wrapText="1"/>
    </xf>
    <xf numFmtId="0" fontId="20" fillId="0" borderId="69" xfId="0" applyFont="1" applyFill="1" applyBorder="1" applyAlignment="1">
      <alignment horizontal="center" vertical="top" wrapText="1"/>
    </xf>
    <xf numFmtId="0" fontId="20" fillId="0" borderId="0" xfId="0" applyFont="1" applyFill="1" applyBorder="1" applyAlignment="1">
      <alignment horizontal="center" vertical="top" wrapText="1"/>
    </xf>
    <xf numFmtId="0" fontId="9" fillId="0" borderId="70" xfId="0" applyFont="1" applyBorder="1" applyAlignment="1">
      <alignment horizontal="left" vertical="top" wrapText="1"/>
    </xf>
    <xf numFmtId="0" fontId="47" fillId="0" borderId="71" xfId="0" applyFont="1" applyBorder="1" applyAlignment="1">
      <alignment horizontal="left" vertical="center" wrapText="1"/>
    </xf>
    <xf numFmtId="0" fontId="47" fillId="6" borderId="71" xfId="0" applyFont="1" applyFill="1" applyBorder="1" applyAlignment="1">
      <alignment horizontal="center" vertical="top" wrapText="1"/>
    </xf>
    <xf numFmtId="0" fontId="47" fillId="6" borderId="71" xfId="0" applyFont="1" applyFill="1" applyBorder="1" applyAlignment="1">
      <alignment horizontal="left" vertical="center" wrapText="1"/>
    </xf>
    <xf numFmtId="0" fontId="47" fillId="0" borderId="72" xfId="0" applyFont="1" applyBorder="1" applyAlignment="1">
      <alignment horizontal="left" vertical="center" wrapText="1"/>
    </xf>
    <xf numFmtId="0" fontId="48" fillId="0" borderId="66" xfId="0" applyFont="1" applyBorder="1" applyAlignment="1">
      <alignment horizontal="left" vertical="top" wrapText="1"/>
    </xf>
    <xf numFmtId="0" fontId="9" fillId="0" borderId="67" xfId="0" applyFont="1" applyBorder="1" applyAlignment="1">
      <alignment horizontal="left" vertical="top" wrapText="1"/>
    </xf>
    <xf numFmtId="0" fontId="9" fillId="0" borderId="68" xfId="0" applyFont="1" applyBorder="1" applyAlignment="1">
      <alignment vertical="top" wrapText="1"/>
    </xf>
    <xf numFmtId="0" fontId="9" fillId="0" borderId="73" xfId="0" applyFont="1" applyBorder="1" applyAlignment="1">
      <alignment horizontal="left" vertical="top" wrapText="1"/>
    </xf>
    <xf numFmtId="3" fontId="20" fillId="0" borderId="0" xfId="0" applyNumberFormat="1" applyFont="1" applyFill="1" applyBorder="1" applyAlignment="1">
      <alignment horizontal="right" vertical="top" wrapText="1"/>
    </xf>
    <xf numFmtId="0" fontId="49" fillId="0" borderId="0" xfId="0" applyFont="1"/>
    <xf numFmtId="0" fontId="50" fillId="0" borderId="74" xfId="0" applyFont="1" applyBorder="1" applyAlignment="1">
      <alignment horizontal="left" vertical="top" wrapText="1"/>
    </xf>
    <xf numFmtId="0" fontId="0" fillId="0" borderId="0" xfId="0" applyBorder="1" applyAlignment="1">
      <alignment horizontal="right"/>
    </xf>
    <xf numFmtId="0" fontId="0" fillId="6" borderId="0" xfId="0" applyFill="1" applyBorder="1" applyAlignment="1">
      <alignment horizontal="right"/>
    </xf>
    <xf numFmtId="0" fontId="47" fillId="0" borderId="66" xfId="0" applyFont="1" applyBorder="1" applyAlignment="1">
      <alignment horizontal="left" vertical="top" wrapText="1"/>
    </xf>
    <xf numFmtId="0" fontId="48" fillId="0" borderId="67" xfId="0" applyFont="1" applyBorder="1" applyAlignment="1">
      <alignment horizontal="left" vertical="top" wrapText="1"/>
    </xf>
    <xf numFmtId="164" fontId="47" fillId="0" borderId="67" xfId="1" applyNumberFormat="1" applyFont="1" applyBorder="1" applyAlignment="1">
      <alignment horizontal="right" vertical="top" wrapText="1"/>
    </xf>
    <xf numFmtId="164" fontId="20" fillId="0" borderId="67" xfId="1" applyNumberFormat="1" applyFont="1" applyBorder="1" applyAlignment="1">
      <alignment horizontal="left" vertical="top" wrapText="1"/>
    </xf>
    <xf numFmtId="164" fontId="20" fillId="0" borderId="68" xfId="1" applyNumberFormat="1" applyFont="1" applyBorder="1" applyAlignment="1">
      <alignment vertical="top" wrapText="1"/>
    </xf>
    <xf numFmtId="164" fontId="20" fillId="0" borderId="73" xfId="1" applyNumberFormat="1" applyFont="1" applyBorder="1" applyAlignment="1">
      <alignment horizontal="left" vertical="top" wrapText="1"/>
    </xf>
    <xf numFmtId="164" fontId="20" fillId="0" borderId="75" xfId="1" applyNumberFormat="1" applyFont="1" applyFill="1" applyBorder="1" applyAlignment="1">
      <alignment horizontal="left" vertical="top" wrapText="1"/>
    </xf>
    <xf numFmtId="164" fontId="20" fillId="0" borderId="0" xfId="1" applyNumberFormat="1" applyFont="1" applyFill="1" applyBorder="1" applyAlignment="1">
      <alignment horizontal="left" vertical="top" wrapText="1"/>
    </xf>
    <xf numFmtId="0" fontId="51" fillId="0" borderId="0" xfId="0" applyFont="1" applyBorder="1" applyAlignment="1">
      <alignment horizontal="left" vertical="top" wrapText="1"/>
    </xf>
    <xf numFmtId="0" fontId="47" fillId="0" borderId="76" xfId="0" applyFont="1" applyBorder="1" applyAlignment="1">
      <alignment horizontal="left" vertical="top" wrapText="1"/>
    </xf>
    <xf numFmtId="0" fontId="47" fillId="0" borderId="0" xfId="0" applyFont="1" applyBorder="1" applyAlignment="1">
      <alignment horizontal="right" vertical="top" wrapText="1"/>
    </xf>
    <xf numFmtId="0" fontId="47" fillId="6" borderId="0" xfId="0" applyFont="1" applyFill="1" applyBorder="1" applyAlignment="1">
      <alignment horizontal="right" vertical="top" wrapText="1"/>
    </xf>
    <xf numFmtId="0" fontId="9" fillId="0" borderId="77" xfId="0" applyFont="1" applyBorder="1" applyAlignment="1">
      <alignment horizontal="left" vertical="top" wrapText="1"/>
    </xf>
    <xf numFmtId="0" fontId="9" fillId="0" borderId="64" xfId="0" applyFont="1" applyBorder="1" applyAlignment="1">
      <alignment horizontal="left" vertical="top" wrapText="1"/>
    </xf>
    <xf numFmtId="164" fontId="47" fillId="0" borderId="0" xfId="1" applyNumberFormat="1" applyFont="1" applyFill="1" applyBorder="1" applyAlignment="1">
      <alignment horizontal="right" vertical="top" wrapText="1"/>
    </xf>
    <xf numFmtId="164" fontId="9" fillId="0" borderId="67" xfId="1" applyNumberFormat="1" applyFont="1" applyBorder="1" applyAlignment="1">
      <alignment horizontal="left" vertical="top" wrapText="1"/>
    </xf>
    <xf numFmtId="164" fontId="9" fillId="0" borderId="68" xfId="1" applyNumberFormat="1" applyFont="1" applyBorder="1" applyAlignment="1">
      <alignment vertical="top" wrapText="1"/>
    </xf>
    <xf numFmtId="164" fontId="9" fillId="0" borderId="73" xfId="1" applyNumberFormat="1" applyFont="1" applyBorder="1" applyAlignment="1">
      <alignment horizontal="left" vertical="top" wrapText="1"/>
    </xf>
    <xf numFmtId="0" fontId="52" fillId="0" borderId="0" xfId="0" applyFont="1" applyBorder="1" applyAlignment="1">
      <alignment horizontal="left" vertical="top" wrapText="1" indent="2"/>
    </xf>
    <xf numFmtId="0" fontId="53" fillId="6" borderId="0" xfId="0" applyFont="1" applyFill="1" applyBorder="1" applyAlignment="1">
      <alignment horizontal="right" vertical="top" wrapText="1"/>
    </xf>
    <xf numFmtId="0" fontId="48" fillId="0" borderId="71" xfId="0" applyFont="1" applyBorder="1" applyAlignment="1">
      <alignment horizontal="left" vertical="top" wrapText="1"/>
    </xf>
    <xf numFmtId="164" fontId="47" fillId="0" borderId="71" xfId="1" applyNumberFormat="1" applyFont="1" applyBorder="1" applyAlignment="1">
      <alignment horizontal="right" vertical="top" wrapText="1"/>
    </xf>
    <xf numFmtId="164" fontId="20" fillId="0" borderId="71" xfId="1" applyNumberFormat="1" applyFont="1" applyBorder="1" applyAlignment="1">
      <alignment horizontal="left" vertical="top" wrapText="1"/>
    </xf>
    <xf numFmtId="164" fontId="20" fillId="0" borderId="72" xfId="1" applyNumberFormat="1" applyFont="1" applyBorder="1" applyAlignment="1">
      <alignment vertical="top" wrapText="1"/>
    </xf>
    <xf numFmtId="164" fontId="20" fillId="0" borderId="78" xfId="1" applyNumberFormat="1" applyFont="1" applyBorder="1" applyAlignment="1">
      <alignment horizontal="left" vertical="top" wrapText="1"/>
    </xf>
    <xf numFmtId="0" fontId="53" fillId="0" borderId="0" xfId="0" applyFont="1" applyBorder="1" applyAlignment="1">
      <alignment horizontal="right" vertical="top" wrapText="1"/>
    </xf>
    <xf numFmtId="0" fontId="48" fillId="0" borderId="62" xfId="0" applyFont="1" applyBorder="1" applyAlignment="1">
      <alignment horizontal="left" vertical="top" wrapText="1"/>
    </xf>
    <xf numFmtId="164" fontId="47" fillId="0" borderId="62" xfId="1" applyNumberFormat="1" applyFont="1" applyBorder="1" applyAlignment="1">
      <alignment horizontal="right" vertical="top" wrapText="1"/>
    </xf>
    <xf numFmtId="164" fontId="20" fillId="0" borderId="62" xfId="1" applyNumberFormat="1" applyFont="1" applyBorder="1" applyAlignment="1">
      <alignment horizontal="left" vertical="top" wrapText="1"/>
    </xf>
    <xf numFmtId="164" fontId="20" fillId="0" borderId="63" xfId="1" applyNumberFormat="1" applyFont="1" applyBorder="1" applyAlignment="1">
      <alignment vertical="top" wrapText="1"/>
    </xf>
    <xf numFmtId="164" fontId="20" fillId="0" borderId="79" xfId="1" applyNumberFormat="1" applyFont="1" applyBorder="1" applyAlignment="1">
      <alignment horizontal="left" vertical="top" wrapText="1"/>
    </xf>
    <xf numFmtId="0" fontId="52" fillId="0" borderId="80" xfId="0" applyFont="1" applyBorder="1" applyAlignment="1">
      <alignment horizontal="left" vertical="top" wrapText="1" indent="2"/>
    </xf>
    <xf numFmtId="0" fontId="50" fillId="0" borderId="81" xfId="0" applyFont="1" applyBorder="1" applyAlignment="1">
      <alignment horizontal="left" vertical="top" wrapText="1"/>
    </xf>
    <xf numFmtId="169" fontId="20" fillId="0" borderId="32" xfId="0" applyNumberFormat="1" applyFont="1" applyBorder="1" applyAlignment="1">
      <alignment horizontal="right" vertical="center" wrapText="1"/>
    </xf>
    <xf numFmtId="169" fontId="20" fillId="6" borderId="32" xfId="0" applyNumberFormat="1" applyFont="1" applyFill="1" applyBorder="1" applyAlignment="1">
      <alignment horizontal="right" vertical="center" wrapText="1"/>
    </xf>
    <xf numFmtId="164" fontId="20" fillId="0" borderId="67" xfId="1" applyNumberFormat="1" applyFont="1" applyBorder="1" applyAlignment="1">
      <alignment horizontal="right" vertical="top" wrapText="1"/>
    </xf>
    <xf numFmtId="164" fontId="20" fillId="0" borderId="73" xfId="1" applyNumberFormat="1" applyFont="1" applyBorder="1" applyAlignment="1">
      <alignment horizontal="right" vertical="top" wrapText="1"/>
    </xf>
    <xf numFmtId="0" fontId="51" fillId="0" borderId="80" xfId="0" applyFont="1" applyBorder="1" applyAlignment="1">
      <alignment horizontal="left" vertical="top" wrapText="1"/>
    </xf>
    <xf numFmtId="169" fontId="20" fillId="0" borderId="32" xfId="0" applyNumberFormat="1" applyFont="1" applyBorder="1" applyAlignment="1">
      <alignment horizontal="right" vertical="top" wrapText="1"/>
    </xf>
    <xf numFmtId="169" fontId="20" fillId="6" borderId="32" xfId="0" applyNumberFormat="1" applyFont="1" applyFill="1" applyBorder="1" applyAlignment="1">
      <alignment horizontal="right" vertical="top" wrapText="1"/>
    </xf>
    <xf numFmtId="0" fontId="51" fillId="0" borderId="0" xfId="0" applyFont="1" applyFill="1" applyBorder="1" applyAlignment="1">
      <alignment horizontal="left" wrapText="1"/>
    </xf>
    <xf numFmtId="169" fontId="20" fillId="0" borderId="0" xfId="0" applyNumberFormat="1" applyFont="1" applyBorder="1" applyAlignment="1">
      <alignment horizontal="right" wrapText="1"/>
    </xf>
    <xf numFmtId="0" fontId="51" fillId="0" borderId="0" xfId="0" applyFont="1" applyFill="1" applyBorder="1" applyAlignment="1">
      <alignment horizontal="left" vertical="top" wrapText="1"/>
    </xf>
    <xf numFmtId="3" fontId="47" fillId="0" borderId="0" xfId="0" applyNumberFormat="1" applyFont="1" applyAlignment="1">
      <alignment horizontal="left" vertical="top"/>
    </xf>
    <xf numFmtId="164" fontId="47" fillId="0" borderId="68" xfId="1" applyNumberFormat="1" applyFont="1" applyBorder="1" applyAlignment="1">
      <alignment vertical="top" wrapText="1"/>
    </xf>
    <xf numFmtId="164" fontId="47" fillId="0" borderId="73" xfId="1" applyNumberFormat="1" applyFont="1" applyBorder="1" applyAlignment="1">
      <alignment horizontal="right" vertical="top" wrapText="1"/>
    </xf>
    <xf numFmtId="0" fontId="47" fillId="0" borderId="76" xfId="0" applyFont="1" applyBorder="1" applyAlignment="1">
      <alignment horizontal="left" vertical="top" wrapText="1"/>
    </xf>
    <xf numFmtId="0" fontId="47" fillId="0" borderId="64" xfId="0" applyFont="1" applyBorder="1" applyAlignment="1">
      <alignment horizontal="left" vertical="top" wrapText="1"/>
    </xf>
    <xf numFmtId="0" fontId="54" fillId="0" borderId="66" xfId="0" applyFont="1" applyBorder="1" applyAlignment="1">
      <alignment horizontal="left" vertical="top" wrapText="1"/>
    </xf>
    <xf numFmtId="0" fontId="55" fillId="0" borderId="67" xfId="0" applyFont="1" applyBorder="1" applyAlignment="1">
      <alignment horizontal="left" vertical="top" wrapText="1"/>
    </xf>
    <xf numFmtId="164" fontId="56" fillId="0" borderId="67" xfId="1" applyNumberFormat="1" applyFont="1" applyBorder="1" applyAlignment="1">
      <alignment horizontal="left" vertical="top" wrapText="1"/>
    </xf>
    <xf numFmtId="164" fontId="56" fillId="0" borderId="68" xfId="1" applyNumberFormat="1" applyFont="1" applyBorder="1" applyAlignment="1">
      <alignment vertical="top" wrapText="1"/>
    </xf>
    <xf numFmtId="164" fontId="56" fillId="0" borderId="73" xfId="1" applyNumberFormat="1" applyFont="1" applyBorder="1" applyAlignment="1">
      <alignment horizontal="left" vertical="top" wrapText="1"/>
    </xf>
    <xf numFmtId="164" fontId="57" fillId="0" borderId="67" xfId="1" applyNumberFormat="1" applyFont="1" applyBorder="1" applyAlignment="1">
      <alignment horizontal="left" vertical="top" wrapText="1"/>
    </xf>
    <xf numFmtId="164" fontId="57" fillId="0" borderId="68" xfId="1" applyNumberFormat="1" applyFont="1" applyBorder="1" applyAlignment="1">
      <alignment vertical="top" wrapText="1"/>
    </xf>
    <xf numFmtId="164" fontId="57" fillId="0" borderId="73" xfId="1" applyNumberFormat="1" applyFont="1" applyBorder="1" applyAlignment="1">
      <alignment horizontal="left" vertical="top" wrapText="1"/>
    </xf>
    <xf numFmtId="0" fontId="9" fillId="0" borderId="0" xfId="0" applyFont="1" applyBorder="1" applyAlignment="1">
      <alignment horizontal="left" vertical="top" wrapText="1"/>
    </xf>
    <xf numFmtId="0" fontId="48" fillId="0" borderId="0" xfId="0" applyFont="1" applyBorder="1" applyAlignment="1">
      <alignment horizontal="left" vertical="top" wrapText="1"/>
    </xf>
    <xf numFmtId="169" fontId="20" fillId="0" borderId="0" xfId="0" applyNumberFormat="1" applyFont="1" applyBorder="1" applyAlignment="1">
      <alignment horizontal="left" vertical="top" wrapText="1"/>
    </xf>
    <xf numFmtId="0" fontId="58" fillId="13" borderId="13" xfId="0" applyNumberFormat="1" applyFont="1" applyFill="1" applyBorder="1" applyAlignment="1" applyProtection="1"/>
    <xf numFmtId="0" fontId="5" fillId="13" borderId="14" xfId="0" applyFont="1" applyFill="1" applyBorder="1"/>
    <xf numFmtId="189" fontId="5" fillId="13" borderId="14" xfId="0" applyNumberFormat="1" applyFont="1" applyFill="1" applyBorder="1"/>
    <xf numFmtId="189" fontId="5" fillId="13" borderId="23" xfId="0" applyNumberFormat="1" applyFont="1" applyFill="1" applyBorder="1"/>
    <xf numFmtId="0" fontId="58" fillId="13" borderId="17" xfId="0" applyNumberFormat="1" applyFont="1" applyFill="1" applyBorder="1" applyAlignment="1" applyProtection="1"/>
    <xf numFmtId="0" fontId="5" fillId="13" borderId="0" xfId="0" applyFont="1" applyFill="1" applyBorder="1"/>
    <xf numFmtId="189" fontId="5" fillId="13" borderId="0" xfId="0" applyNumberFormat="1" applyFont="1" applyFill="1" applyBorder="1"/>
    <xf numFmtId="164" fontId="5" fillId="13" borderId="0" xfId="1" applyNumberFormat="1" applyFont="1" applyFill="1" applyBorder="1"/>
    <xf numFmtId="164" fontId="5" fillId="13" borderId="24" xfId="1" applyNumberFormat="1" applyFont="1" applyFill="1" applyBorder="1"/>
    <xf numFmtId="189" fontId="5" fillId="13" borderId="24" xfId="0" applyNumberFormat="1" applyFont="1" applyFill="1" applyBorder="1"/>
    <xf numFmtId="3" fontId="5" fillId="13" borderId="0" xfId="0" applyNumberFormat="1" applyFont="1" applyFill="1" applyBorder="1"/>
    <xf numFmtId="0" fontId="59" fillId="13" borderId="17" xfId="0" applyNumberFormat="1" applyFont="1" applyFill="1" applyBorder="1" applyAlignment="1" applyProtection="1"/>
    <xf numFmtId="0" fontId="58" fillId="13" borderId="17" xfId="0" applyNumberFormat="1" applyFont="1" applyFill="1" applyBorder="1" applyAlignment="1" applyProtection="1">
      <alignment horizontal="left" indent="1"/>
    </xf>
    <xf numFmtId="0" fontId="58" fillId="13" borderId="2" xfId="0" applyNumberFormat="1" applyFont="1" applyFill="1" applyBorder="1" applyAlignment="1" applyProtection="1"/>
    <xf numFmtId="3" fontId="5" fillId="13" borderId="3" xfId="0" applyNumberFormat="1" applyFont="1" applyFill="1" applyBorder="1"/>
    <xf numFmtId="189" fontId="5" fillId="13" borderId="3" xfId="0" applyNumberFormat="1" applyFont="1" applyFill="1" applyBorder="1"/>
    <xf numFmtId="189" fontId="5" fillId="13" borderId="21" xfId="0" applyNumberFormat="1" applyFont="1" applyFill="1" applyBorder="1"/>
    <xf numFmtId="0" fontId="60" fillId="0" borderId="82" xfId="0" applyFont="1" applyFill="1" applyBorder="1" applyAlignment="1">
      <alignment horizontal="left" vertical="top" wrapText="1"/>
    </xf>
    <xf numFmtId="0" fontId="47" fillId="0" borderId="0" xfId="0" applyFont="1" applyBorder="1" applyAlignment="1">
      <alignment horizontal="left" vertical="top" wrapText="1"/>
    </xf>
    <xf numFmtId="169" fontId="61" fillId="0" borderId="0" xfId="0" applyNumberFormat="1" applyFont="1" applyBorder="1" applyAlignment="1">
      <alignment horizontal="right" vertical="top" wrapText="1"/>
    </xf>
    <xf numFmtId="0" fontId="47" fillId="0" borderId="0" xfId="0" applyFont="1" applyAlignment="1">
      <alignment horizontal="left" vertical="top"/>
    </xf>
    <xf numFmtId="0" fontId="60" fillId="0" borderId="3" xfId="0" applyFont="1" applyFill="1" applyBorder="1" applyAlignment="1">
      <alignment horizontal="left" vertical="top" wrapText="1"/>
    </xf>
    <xf numFmtId="190" fontId="62" fillId="0" borderId="0" xfId="0" applyNumberFormat="1" applyFont="1" applyBorder="1" applyAlignment="1">
      <alignment horizontal="left" vertical="top" wrapText="1"/>
    </xf>
    <xf numFmtId="190" fontId="61" fillId="0" borderId="0" xfId="0" applyNumberFormat="1" applyFont="1" applyBorder="1" applyAlignment="1">
      <alignment horizontal="right" vertical="top" wrapText="1"/>
    </xf>
    <xf numFmtId="164" fontId="20" fillId="0" borderId="0" xfId="1" applyNumberFormat="1" applyFont="1" applyBorder="1" applyAlignment="1">
      <alignment horizontal="right" vertical="top" wrapText="1"/>
    </xf>
    <xf numFmtId="0" fontId="47" fillId="0" borderId="0" xfId="0" applyFont="1" applyAlignment="1">
      <alignment horizontal="left" vertical="top" wrapText="1"/>
    </xf>
    <xf numFmtId="0" fontId="47" fillId="0" borderId="0" xfId="0" applyFont="1" applyFill="1" applyBorder="1" applyAlignment="1">
      <alignment horizontal="left" vertical="top" wrapText="1"/>
    </xf>
    <xf numFmtId="0" fontId="48" fillId="0" borderId="0" xfId="0" applyFont="1" applyFill="1" applyBorder="1" applyAlignment="1">
      <alignment horizontal="left" vertical="top" wrapText="1"/>
    </xf>
    <xf numFmtId="169" fontId="61" fillId="0" borderId="0" xfId="0" applyNumberFormat="1" applyFont="1" applyFill="1" applyBorder="1" applyAlignment="1">
      <alignment horizontal="right" vertical="top" wrapText="1"/>
    </xf>
    <xf numFmtId="164" fontId="20" fillId="0" borderId="0" xfId="1" applyNumberFormat="1" applyFont="1" applyFill="1" applyBorder="1" applyAlignment="1">
      <alignment horizontal="right" vertical="top" wrapText="1"/>
    </xf>
    <xf numFmtId="0" fontId="48" fillId="0" borderId="67" xfId="0" applyFont="1" applyFill="1" applyBorder="1" applyAlignment="1">
      <alignment horizontal="left" vertical="top" wrapText="1"/>
    </xf>
    <xf numFmtId="0" fontId="47" fillId="0" borderId="0" xfId="0" applyFont="1" applyBorder="1" applyAlignment="1">
      <alignment horizontal="left" vertical="top"/>
    </xf>
    <xf numFmtId="0" fontId="61" fillId="0" borderId="0" xfId="0" applyFont="1" applyBorder="1" applyAlignment="1">
      <alignment horizontal="right" vertical="top" wrapText="1"/>
    </xf>
    <xf numFmtId="0" fontId="60" fillId="0" borderId="0" xfId="0" applyFont="1" applyFill="1" applyBorder="1" applyAlignment="1">
      <alignment horizontal="left" vertical="top" wrapText="1"/>
    </xf>
    <xf numFmtId="0" fontId="48" fillId="0" borderId="3" xfId="0" applyFont="1" applyFill="1" applyBorder="1" applyAlignment="1">
      <alignment horizontal="left" vertical="top" wrapText="1"/>
    </xf>
    <xf numFmtId="190" fontId="61" fillId="0" borderId="3" xfId="0" applyNumberFormat="1" applyFont="1" applyBorder="1" applyAlignment="1">
      <alignment horizontal="right" vertical="top" wrapText="1"/>
    </xf>
    <xf numFmtId="0" fontId="64" fillId="0" borderId="0" xfId="0" applyFont="1" applyFill="1" applyBorder="1" applyAlignment="1">
      <alignment horizontal="left" vertical="top" wrapText="1"/>
    </xf>
    <xf numFmtId="190" fontId="65" fillId="0" borderId="0" xfId="0" applyNumberFormat="1" applyFont="1" applyBorder="1" applyAlignment="1">
      <alignment horizontal="right" vertical="top" wrapText="1"/>
    </xf>
    <xf numFmtId="0" fontId="20" fillId="0" borderId="0" xfId="0" applyFont="1" applyFill="1" applyBorder="1" applyAlignment="1">
      <alignment horizontal="left" vertical="top" wrapText="1"/>
    </xf>
    <xf numFmtId="0" fontId="47" fillId="0" borderId="83" xfId="0" applyFont="1" applyBorder="1" applyAlignment="1">
      <alignment horizontal="left" vertical="top" wrapText="1"/>
    </xf>
    <xf numFmtId="0" fontId="47" fillId="0" borderId="0" xfId="0" applyFont="1" applyFill="1" applyBorder="1" applyAlignment="1">
      <alignment horizontal="left" vertical="top"/>
    </xf>
    <xf numFmtId="0" fontId="14" fillId="0" borderId="0" xfId="0" applyFont="1"/>
    <xf numFmtId="190" fontId="66" fillId="0" borderId="0" xfId="0" applyNumberFormat="1" applyFont="1" applyBorder="1" applyAlignment="1">
      <alignment horizontal="right" vertical="top" wrapText="1"/>
    </xf>
    <xf numFmtId="0" fontId="64" fillId="0" borderId="3" xfId="0" applyFont="1" applyFill="1" applyBorder="1" applyAlignment="1">
      <alignment horizontal="left" vertical="top" wrapText="1"/>
    </xf>
    <xf numFmtId="190" fontId="66" fillId="0" borderId="3" xfId="0" applyNumberFormat="1" applyFont="1" applyBorder="1" applyAlignment="1">
      <alignment horizontal="right" vertical="top" wrapText="1"/>
    </xf>
    <xf numFmtId="0" fontId="67" fillId="0" borderId="0" xfId="0" applyFont="1" applyFill="1" applyBorder="1" applyAlignment="1">
      <alignment horizontal="left" vertical="top" wrapText="1"/>
    </xf>
    <xf numFmtId="190" fontId="62" fillId="0" borderId="0" xfId="0" applyNumberFormat="1" applyFont="1" applyFill="1" applyBorder="1" applyAlignment="1">
      <alignment horizontal="right" vertical="top" wrapText="1"/>
    </xf>
    <xf numFmtId="0" fontId="68" fillId="0" borderId="0" xfId="0" applyFont="1" applyBorder="1"/>
    <xf numFmtId="0" fontId="49" fillId="0" borderId="0" xfId="0" applyFont="1" applyBorder="1" applyAlignment="1">
      <alignment horizontal="left" indent="1"/>
    </xf>
    <xf numFmtId="0" fontId="69" fillId="0" borderId="0" xfId="0" applyFont="1" applyBorder="1" applyAlignment="1">
      <alignment horizontal="left" vertical="top" wrapText="1"/>
    </xf>
    <xf numFmtId="0" fontId="5" fillId="0" borderId="0" xfId="0" applyFont="1" applyBorder="1"/>
    <xf numFmtId="166" fontId="5" fillId="0" borderId="0" xfId="1" applyNumberFormat="1" applyFont="1" applyBorder="1" applyAlignment="1">
      <alignment horizontal="right"/>
    </xf>
    <xf numFmtId="0" fontId="70" fillId="0" borderId="0" xfId="0" applyFont="1" applyBorder="1" applyAlignment="1">
      <alignment horizontal="left" vertical="top" wrapText="1"/>
    </xf>
    <xf numFmtId="166" fontId="70" fillId="0" borderId="0" xfId="1" applyNumberFormat="1" applyFont="1" applyBorder="1" applyAlignment="1">
      <alignment horizontal="right" vertical="top" wrapText="1"/>
    </xf>
    <xf numFmtId="0" fontId="58" fillId="0" borderId="0" xfId="0" applyFont="1" applyBorder="1" applyAlignment="1">
      <alignment horizontal="left" vertical="top" wrapText="1"/>
    </xf>
    <xf numFmtId="0" fontId="3" fillId="0" borderId="0" xfId="0" applyFont="1" applyAlignment="1">
      <alignment horizontal="center"/>
    </xf>
    <xf numFmtId="183" fontId="0" fillId="0" borderId="0" xfId="0" applyNumberFormat="1"/>
    <xf numFmtId="0" fontId="0" fillId="0" borderId="3" xfId="0" applyFont="1" applyFill="1" applyBorder="1"/>
    <xf numFmtId="183" fontId="0" fillId="0" borderId="3" xfId="0" applyNumberFormat="1" applyBorder="1"/>
    <xf numFmtId="0" fontId="3" fillId="0" borderId="0" xfId="0" applyFont="1" applyFill="1" applyBorder="1"/>
    <xf numFmtId="183" fontId="3" fillId="0" borderId="0" xfId="0" applyNumberFormat="1" applyFont="1"/>
    <xf numFmtId="171" fontId="3" fillId="0" borderId="0" xfId="0" applyNumberFormat="1" applyFont="1"/>
    <xf numFmtId="167" fontId="3" fillId="0" borderId="0" xfId="0" applyNumberFormat="1" applyFont="1"/>
    <xf numFmtId="167" fontId="1" fillId="0" borderId="0" xfId="1" applyNumberFormat="1" applyFont="1"/>
    <xf numFmtId="17" fontId="0" fillId="0" borderId="0" xfId="0" applyNumberFormat="1" applyAlignment="1">
      <alignment horizontal="left" indent="1"/>
    </xf>
    <xf numFmtId="167" fontId="2" fillId="0" borderId="0" xfId="0" applyNumberFormat="1" applyFont="1"/>
    <xf numFmtId="165" fontId="3" fillId="0" borderId="0" xfId="3" applyNumberFormat="1" applyFont="1"/>
    <xf numFmtId="165" fontId="1" fillId="0" borderId="31" xfId="3" applyNumberFormat="1" applyFont="1" applyBorder="1"/>
    <xf numFmtId="43" fontId="0" fillId="0" borderId="19" xfId="0" applyNumberFormat="1" applyBorder="1"/>
    <xf numFmtId="43" fontId="0" fillId="0" borderId="0" xfId="0" quotePrefix="1" applyNumberFormat="1"/>
    <xf numFmtId="3" fontId="0" fillId="0" borderId="0" xfId="0" applyNumberFormat="1" applyAlignment="1">
      <alignment horizontal="center"/>
    </xf>
    <xf numFmtId="189" fontId="0" fillId="0" borderId="0" xfId="0" applyNumberFormat="1"/>
    <xf numFmtId="189" fontId="1" fillId="0" borderId="0" xfId="1" applyNumberFormat="1" applyFont="1"/>
    <xf numFmtId="3" fontId="0" fillId="3" borderId="0" xfId="0" applyNumberFormat="1" applyFont="1" applyFill="1"/>
    <xf numFmtId="189" fontId="3" fillId="0" borderId="0" xfId="0" applyNumberFormat="1" applyFont="1"/>
    <xf numFmtId="0" fontId="0" fillId="0" borderId="0" xfId="0" quotePrefix="1"/>
    <xf numFmtId="3" fontId="3" fillId="3" borderId="0" xfId="0" applyNumberFormat="1" applyFont="1" applyFill="1"/>
    <xf numFmtId="165" fontId="0" fillId="0" borderId="0" xfId="0" applyNumberFormat="1" applyAlignment="1">
      <alignment horizontal="center"/>
    </xf>
    <xf numFmtId="0" fontId="10" fillId="3" borderId="0" xfId="0" applyFont="1" applyFill="1"/>
    <xf numFmtId="9" fontId="3" fillId="0" borderId="0" xfId="0" applyNumberFormat="1" applyFont="1" applyAlignment="1">
      <alignment horizontal="center"/>
    </xf>
    <xf numFmtId="10" fontId="0" fillId="0" borderId="0" xfId="0" applyNumberFormat="1" applyBorder="1"/>
    <xf numFmtId="10" fontId="0" fillId="0" borderId="3" xfId="0" applyNumberFormat="1" applyBorder="1"/>
    <xf numFmtId="0" fontId="10" fillId="0" borderId="3" xfId="0" applyFont="1" applyFill="1" applyBorder="1"/>
    <xf numFmtId="164" fontId="10" fillId="0" borderId="3" xfId="1" applyNumberFormat="1" applyFont="1" applyBorder="1"/>
    <xf numFmtId="164" fontId="10" fillId="0" borderId="3" xfId="0" applyNumberFormat="1" applyFont="1" applyBorder="1"/>
    <xf numFmtId="0" fontId="10" fillId="0" borderId="0" xfId="0" applyFont="1" applyFill="1" applyBorder="1"/>
    <xf numFmtId="0" fontId="10" fillId="0" borderId="0" xfId="0" applyFont="1" applyBorder="1"/>
    <xf numFmtId="164" fontId="10" fillId="0" borderId="0" xfId="1" applyNumberFormat="1" applyFont="1" applyBorder="1"/>
    <xf numFmtId="164" fontId="10" fillId="0" borderId="0" xfId="0" applyNumberFormat="1" applyFont="1" applyBorder="1"/>
    <xf numFmtId="0" fontId="71" fillId="0" borderId="0" xfId="0" applyFont="1" applyAlignment="1">
      <alignment horizontal="left" vertical="top"/>
    </xf>
    <xf numFmtId="0" fontId="9" fillId="0" borderId="84" xfId="0" applyFont="1" applyBorder="1" applyAlignment="1">
      <alignment horizontal="left" vertical="top" wrapText="1"/>
    </xf>
    <xf numFmtId="0" fontId="72" fillId="0" borderId="85" xfId="0" applyFont="1" applyBorder="1" applyAlignment="1">
      <alignment horizontal="center" vertical="top" wrapText="1"/>
    </xf>
    <xf numFmtId="0" fontId="72" fillId="0" borderId="86" xfId="0" applyFont="1" applyBorder="1" applyAlignment="1">
      <alignment horizontal="center" vertical="top" wrapText="1"/>
    </xf>
    <xf numFmtId="0" fontId="72" fillId="0" borderId="87" xfId="0" applyFont="1" applyBorder="1" applyAlignment="1">
      <alignment horizontal="center" vertical="top" wrapText="1"/>
    </xf>
    <xf numFmtId="0" fontId="9" fillId="0" borderId="88" xfId="0" applyFont="1" applyBorder="1" applyAlignment="1">
      <alignment horizontal="left" vertical="top" wrapText="1"/>
    </xf>
    <xf numFmtId="0" fontId="72" fillId="0" borderId="85" xfId="0" applyFont="1" applyBorder="1" applyAlignment="1">
      <alignment horizontal="right" vertical="center" wrapText="1" indent="1"/>
    </xf>
    <xf numFmtId="0" fontId="72" fillId="0" borderId="86" xfId="0" applyFont="1" applyBorder="1" applyAlignment="1">
      <alignment horizontal="right" vertical="center" wrapText="1" indent="1"/>
    </xf>
    <xf numFmtId="0" fontId="72" fillId="0" borderId="87" xfId="0" applyFont="1" applyBorder="1" applyAlignment="1">
      <alignment horizontal="right" vertical="center" wrapText="1"/>
    </xf>
    <xf numFmtId="0" fontId="72" fillId="0" borderId="89" xfId="0" applyFont="1" applyBorder="1" applyAlignment="1">
      <alignment horizontal="right" vertical="top" wrapText="1"/>
    </xf>
    <xf numFmtId="0" fontId="72" fillId="0" borderId="90" xfId="0" applyFont="1" applyBorder="1" applyAlignment="1">
      <alignment horizontal="right" vertical="center" wrapText="1"/>
    </xf>
    <xf numFmtId="0" fontId="73" fillId="0" borderId="91" xfId="0" applyFont="1" applyBorder="1" applyAlignment="1">
      <alignment horizontal="left" vertical="top" wrapText="1"/>
    </xf>
    <xf numFmtId="0" fontId="73" fillId="0" borderId="92" xfId="0" applyFont="1" applyBorder="1" applyAlignment="1">
      <alignment horizontal="right" vertical="top" wrapText="1" indent="1"/>
    </xf>
    <xf numFmtId="1" fontId="73" fillId="0" borderId="93" xfId="0" applyNumberFormat="1" applyFont="1" applyBorder="1" applyAlignment="1">
      <alignment horizontal="right" vertical="top" wrapText="1" indent="1"/>
    </xf>
    <xf numFmtId="1" fontId="73" fillId="0" borderId="94" xfId="0" applyNumberFormat="1" applyFont="1" applyBorder="1" applyAlignment="1">
      <alignment horizontal="right" vertical="top" wrapText="1"/>
    </xf>
    <xf numFmtId="1" fontId="73" fillId="0" borderId="91" xfId="0" applyNumberFormat="1" applyFont="1" applyBorder="1" applyAlignment="1">
      <alignment horizontal="right" vertical="top" wrapText="1"/>
    </xf>
    <xf numFmtId="0" fontId="73" fillId="0" borderId="95" xfId="0" applyFont="1" applyBorder="1" applyAlignment="1">
      <alignment horizontal="left" vertical="top" wrapText="1"/>
    </xf>
    <xf numFmtId="0" fontId="73" fillId="0" borderId="96" xfId="0" applyFont="1" applyBorder="1" applyAlignment="1">
      <alignment horizontal="right" vertical="top" wrapText="1" indent="1"/>
    </xf>
    <xf numFmtId="1" fontId="73" fillId="0" borderId="0" xfId="0" applyNumberFormat="1" applyFont="1" applyAlignment="1">
      <alignment horizontal="right" vertical="top" wrapText="1" indent="1"/>
    </xf>
    <xf numFmtId="1" fontId="73" fillId="0" borderId="84" xfId="0" applyNumberFormat="1" applyFont="1" applyBorder="1" applyAlignment="1">
      <alignment horizontal="right" vertical="top" wrapText="1"/>
    </xf>
    <xf numFmtId="1" fontId="73" fillId="0" borderId="95" xfId="0" applyNumberFormat="1" applyFont="1" applyBorder="1" applyAlignment="1">
      <alignment horizontal="right" vertical="top" wrapText="1"/>
    </xf>
    <xf numFmtId="1" fontId="73" fillId="0" borderId="96" xfId="0" applyNumberFormat="1" applyFont="1" applyBorder="1" applyAlignment="1">
      <alignment horizontal="right" vertical="top" wrapText="1" indent="1"/>
    </xf>
    <xf numFmtId="0" fontId="73" fillId="0" borderId="97" xfId="0" applyFont="1" applyBorder="1" applyAlignment="1">
      <alignment horizontal="left" vertical="top" wrapText="1"/>
    </xf>
    <xf numFmtId="0" fontId="73" fillId="0" borderId="98" xfId="0" applyFont="1" applyBorder="1" applyAlignment="1">
      <alignment horizontal="right" vertical="top" wrapText="1" indent="1"/>
    </xf>
    <xf numFmtId="1" fontId="73" fillId="0" borderId="99" xfId="0" applyNumberFormat="1" applyFont="1" applyBorder="1" applyAlignment="1">
      <alignment horizontal="right" vertical="top" wrapText="1" indent="1"/>
    </xf>
    <xf numFmtId="1" fontId="73" fillId="0" borderId="88" xfId="0" applyNumberFormat="1" applyFont="1" applyBorder="1" applyAlignment="1">
      <alignment horizontal="right" vertical="top" wrapText="1"/>
    </xf>
    <xf numFmtId="1" fontId="73" fillId="0" borderId="97" xfId="0" applyNumberFormat="1" applyFont="1" applyBorder="1" applyAlignment="1">
      <alignment horizontal="right" vertical="top" wrapText="1"/>
    </xf>
    <xf numFmtId="0" fontId="74" fillId="0" borderId="100" xfId="0" applyFont="1" applyBorder="1" applyAlignment="1">
      <alignment horizontal="left" vertical="top" wrapText="1"/>
    </xf>
    <xf numFmtId="1" fontId="72" fillId="0" borderId="85" xfId="0" applyNumberFormat="1" applyFont="1" applyBorder="1" applyAlignment="1">
      <alignment horizontal="right" vertical="top" wrapText="1" indent="1"/>
    </xf>
    <xf numFmtId="1" fontId="72" fillId="0" borderId="86" xfId="0" applyNumberFormat="1" applyFont="1" applyBorder="1" applyAlignment="1">
      <alignment horizontal="right" vertical="top" wrapText="1" indent="1"/>
    </xf>
    <xf numFmtId="1" fontId="72" fillId="0" borderId="87" xfId="0" applyNumberFormat="1" applyFont="1" applyBorder="1" applyAlignment="1">
      <alignment horizontal="right" vertical="top" wrapText="1"/>
    </xf>
    <xf numFmtId="3" fontId="72" fillId="0" borderId="100" xfId="0" applyNumberFormat="1" applyFont="1" applyBorder="1" applyAlignment="1">
      <alignment horizontal="right" vertical="top" wrapText="1"/>
    </xf>
    <xf numFmtId="1" fontId="72" fillId="0" borderId="100" xfId="0" applyNumberFormat="1" applyFont="1" applyBorder="1" applyAlignment="1">
      <alignment horizontal="right" vertical="top" wrapText="1"/>
    </xf>
    <xf numFmtId="0" fontId="76" fillId="0" borderId="85" xfId="0" applyFont="1" applyBorder="1" applyAlignment="1">
      <alignment horizontal="center" vertical="top" wrapText="1"/>
    </xf>
    <xf numFmtId="0" fontId="76" fillId="0" borderId="86" xfId="0" applyFont="1" applyBorder="1" applyAlignment="1">
      <alignment horizontal="center" vertical="top" wrapText="1"/>
    </xf>
    <xf numFmtId="0" fontId="76" fillId="0" borderId="87" xfId="0" applyFont="1" applyBorder="1" applyAlignment="1">
      <alignment horizontal="center" vertical="top" wrapText="1"/>
    </xf>
    <xf numFmtId="0" fontId="74" fillId="0" borderId="100" xfId="0" applyFont="1" applyBorder="1" applyAlignment="1">
      <alignment horizontal="left" vertical="top" wrapText="1" indent="1"/>
    </xf>
    <xf numFmtId="0" fontId="72" fillId="0" borderId="100" xfId="0" applyFont="1" applyBorder="1" applyAlignment="1">
      <alignment horizontal="left" vertical="top" wrapText="1" indent="1"/>
    </xf>
    <xf numFmtId="0" fontId="73" fillId="0" borderId="91" xfId="0" applyFont="1" applyBorder="1" applyAlignment="1">
      <alignment horizontal="right" vertical="top" wrapText="1"/>
    </xf>
    <xf numFmtId="0" fontId="73" fillId="0" borderId="0" xfId="0" applyFont="1" applyAlignment="1">
      <alignment horizontal="right" vertical="top" wrapText="1" indent="1"/>
    </xf>
    <xf numFmtId="0" fontId="73" fillId="0" borderId="84" xfId="0" applyFont="1" applyBorder="1" applyAlignment="1">
      <alignment horizontal="right" vertical="top" wrapText="1"/>
    </xf>
    <xf numFmtId="0" fontId="73" fillId="0" borderId="95" xfId="0" applyFont="1" applyBorder="1" applyAlignment="1">
      <alignment horizontal="right" vertical="top" wrapText="1"/>
    </xf>
    <xf numFmtId="0" fontId="73" fillId="0" borderId="99" xfId="0" applyFont="1" applyBorder="1" applyAlignment="1">
      <alignment horizontal="right" vertical="top" wrapText="1" indent="1"/>
    </xf>
    <xf numFmtId="0" fontId="73" fillId="0" borderId="88" xfId="0" applyFont="1" applyBorder="1" applyAlignment="1">
      <alignment horizontal="right" vertical="top" wrapText="1"/>
    </xf>
    <xf numFmtId="0" fontId="73" fillId="0" borderId="97" xfId="0" applyFont="1" applyBorder="1" applyAlignment="1">
      <alignment horizontal="right" vertical="top" wrapText="1"/>
    </xf>
    <xf numFmtId="0" fontId="72" fillId="0" borderId="85" xfId="0" applyFont="1" applyBorder="1" applyAlignment="1">
      <alignment horizontal="right" vertical="top" wrapText="1" indent="1"/>
    </xf>
    <xf numFmtId="0" fontId="72" fillId="0" borderId="100" xfId="0" applyFont="1" applyBorder="1" applyAlignment="1">
      <alignment horizontal="right" vertical="top" wrapText="1"/>
    </xf>
    <xf numFmtId="0" fontId="25" fillId="0" borderId="0" xfId="0" applyFont="1" applyAlignment="1">
      <alignment horizontal="left" indent="1"/>
    </xf>
    <xf numFmtId="0" fontId="73" fillId="0" borderId="0" xfId="0" applyFont="1" applyAlignment="1">
      <alignment horizontal="center" vertical="top" wrapText="1"/>
    </xf>
    <xf numFmtId="171" fontId="73" fillId="0" borderId="0" xfId="0" applyNumberFormat="1" applyFont="1" applyAlignment="1">
      <alignment horizontal="right" vertical="top" wrapText="1" indent="1"/>
    </xf>
    <xf numFmtId="0" fontId="25" fillId="0" borderId="3" xfId="0" applyFont="1" applyBorder="1" applyAlignment="1">
      <alignment horizontal="left" indent="1"/>
    </xf>
    <xf numFmtId="0" fontId="73" fillId="0" borderId="3" xfId="0" applyFont="1" applyBorder="1" applyAlignment="1">
      <alignment horizontal="center" vertical="top" wrapText="1"/>
    </xf>
    <xf numFmtId="171" fontId="73" fillId="0" borderId="3" xfId="0" applyNumberFormat="1" applyFont="1" applyBorder="1" applyAlignment="1">
      <alignment horizontal="right" vertical="top" wrapText="1" indent="1"/>
    </xf>
    <xf numFmtId="1" fontId="73" fillId="0" borderId="3" xfId="0" applyNumberFormat="1" applyFont="1" applyBorder="1" applyAlignment="1">
      <alignment horizontal="right" vertical="top" wrapText="1" indent="1"/>
    </xf>
    <xf numFmtId="171" fontId="73" fillId="0" borderId="0" xfId="0" applyNumberFormat="1" applyFont="1" applyBorder="1" applyAlignment="1">
      <alignment horizontal="right" vertical="top" wrapText="1" indent="1"/>
    </xf>
    <xf numFmtId="0" fontId="0" fillId="0" borderId="0" xfId="0" applyFill="1" applyBorder="1" applyAlignment="1">
      <alignment horizontal="left" indent="1"/>
    </xf>
    <xf numFmtId="0" fontId="10" fillId="0" borderId="3" xfId="0" applyFont="1" applyBorder="1" applyAlignment="1">
      <alignment horizontal="left" indent="1"/>
    </xf>
    <xf numFmtId="0" fontId="3" fillId="0" borderId="32" xfId="0" applyFont="1" applyFill="1" applyBorder="1" applyAlignment="1">
      <alignment horizontal="center"/>
    </xf>
    <xf numFmtId="0" fontId="77" fillId="0" borderId="0" xfId="0" applyFont="1" applyAlignment="1">
      <alignment horizontal="left" vertical="top" wrapText="1"/>
    </xf>
    <xf numFmtId="194" fontId="78" fillId="0" borderId="0" xfId="1" applyNumberFormat="1" applyFont="1" applyAlignment="1">
      <alignment horizontal="right" vertical="top" wrapText="1"/>
    </xf>
    <xf numFmtId="0" fontId="70" fillId="0" borderId="3" xfId="0" applyFont="1" applyBorder="1" applyAlignment="1">
      <alignment vertical="top" wrapText="1"/>
    </xf>
    <xf numFmtId="166" fontId="70" fillId="0" borderId="3" xfId="1" applyNumberFormat="1" applyFont="1" applyBorder="1" applyAlignment="1">
      <alignment horizontal="right" vertical="top" wrapText="1"/>
    </xf>
    <xf numFmtId="43" fontId="3" fillId="0" borderId="0" xfId="0" applyNumberFormat="1" applyFont="1" applyBorder="1" applyAlignment="1">
      <alignment horizontal="right"/>
    </xf>
    <xf numFmtId="0" fontId="79" fillId="0" borderId="39" xfId="0" applyFont="1" applyBorder="1"/>
  </cellXfs>
  <cellStyles count="7">
    <cellStyle name="Comma" xfId="1" builtinId="3"/>
    <cellStyle name="Currency" xfId="2" builtinId="4"/>
    <cellStyle name="Hyperlink" xfId="6" builtinId="8"/>
    <cellStyle name="Hyperlink 3" xfId="5"/>
    <cellStyle name="Normal" xfId="0" builtinId="0"/>
    <cellStyle name="Normal 8"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NZ" sz="1800" b="1" i="0" u="none" strike="noStrike" baseline="0">
                <a:solidFill>
                  <a:srgbClr val="000000"/>
                </a:solidFill>
                <a:latin typeface="Calibri"/>
                <a:cs typeface="Calibri"/>
              </a:rPr>
              <a:t>Funding need compared to actual funding</a:t>
            </a:r>
          </a:p>
          <a:p>
            <a:pPr>
              <a:defRPr sz="1000" b="0" i="0" u="none" strike="noStrike" baseline="0">
                <a:solidFill>
                  <a:srgbClr val="000000"/>
                </a:solidFill>
                <a:latin typeface="Calibri"/>
                <a:ea typeface="Calibri"/>
                <a:cs typeface="Calibri"/>
              </a:defRPr>
            </a:pPr>
            <a:r>
              <a:rPr lang="en-NZ" sz="1400" b="0" i="0" u="none" strike="noStrike" baseline="0">
                <a:solidFill>
                  <a:srgbClr val="000000"/>
                </a:solidFill>
                <a:latin typeface="Calibri"/>
                <a:cs typeface="Calibri"/>
              </a:rPr>
              <a:t>Increase since 2010 ($ billion)</a:t>
            </a:r>
          </a:p>
        </c:rich>
      </c:tx>
      <c:layout/>
      <c:overlay val="0"/>
    </c:title>
    <c:autoTitleDeleted val="0"/>
    <c:plotArea>
      <c:layout>
        <c:manualLayout>
          <c:layoutTarget val="inner"/>
          <c:xMode val="edge"/>
          <c:yMode val="edge"/>
          <c:x val="5.8883211192041804E-2"/>
          <c:y val="0.14825108487667368"/>
          <c:w val="0.74428130912431856"/>
          <c:h val="0.73438130053978756"/>
        </c:manualLayout>
      </c:layout>
      <c:barChart>
        <c:barDir val="col"/>
        <c:grouping val="stacked"/>
        <c:varyColors val="0"/>
        <c:ser>
          <c:idx val="1"/>
          <c:order val="0"/>
          <c:tx>
            <c:strRef>
              <c:f>Multiyear!$AF$125</c:f>
              <c:strCache>
                <c:ptCount val="1"/>
                <c:pt idx="0">
                  <c:v>Population increases</c:v>
                </c:pt>
              </c:strCache>
            </c:strRef>
          </c:tx>
          <c:invertIfNegative val="0"/>
          <c:cat>
            <c:multiLvlStrRef>
              <c:f>Multiyear!$AG$113:$AQ$114</c:f>
              <c:multiLvlStrCache>
                <c:ptCount val="11"/>
                <c:lvl>
                  <c:pt idx="0">
                    <c:v>Actual</c:v>
                  </c:pt>
                  <c:pt idx="1">
                    <c:v>Actual</c:v>
                  </c:pt>
                  <c:pt idx="2">
                    <c:v>Actual</c:v>
                  </c:pt>
                  <c:pt idx="3">
                    <c:v>Actual</c:v>
                  </c:pt>
                  <c:pt idx="4">
                    <c:v>Actual</c:v>
                  </c:pt>
                  <c:pt idx="5">
                    <c:v>Actual</c:v>
                  </c:pt>
                  <c:pt idx="6">
                    <c:v>Actual</c:v>
                  </c:pt>
                  <c:pt idx="7">
                    <c:v>Actual</c:v>
                  </c:pt>
                  <c:pt idx="8">
                    <c:v>Actual</c:v>
                  </c:pt>
                  <c:pt idx="9">
                    <c:v>Budget/Est</c:v>
                  </c:pt>
                  <c:pt idx="10">
                    <c:v>Budget/Est</c:v>
                  </c:pt>
                </c:lvl>
                <c:lvl>
                  <c:pt idx="0">
                    <c:v>2010</c:v>
                  </c:pt>
                  <c:pt idx="1">
                    <c:v>2011</c:v>
                  </c:pt>
                  <c:pt idx="2">
                    <c:v>2012</c:v>
                  </c:pt>
                  <c:pt idx="3">
                    <c:v>2013</c:v>
                  </c:pt>
                  <c:pt idx="4">
                    <c:v>2014</c:v>
                  </c:pt>
                  <c:pt idx="5">
                    <c:v>2015</c:v>
                  </c:pt>
                  <c:pt idx="6">
                    <c:v>2016</c:v>
                  </c:pt>
                  <c:pt idx="7">
                    <c:v>2017</c:v>
                  </c:pt>
                  <c:pt idx="8">
                    <c:v>2018</c:v>
                  </c:pt>
                  <c:pt idx="9">
                    <c:v>2019</c:v>
                  </c:pt>
                  <c:pt idx="10">
                    <c:v>2020</c:v>
                  </c:pt>
                </c:lvl>
              </c:multiLvlStrCache>
            </c:multiLvlStrRef>
          </c:cat>
          <c:val>
            <c:numRef>
              <c:f>Multiyear!$AG$125:$AQ$125</c:f>
              <c:numCache>
                <c:formatCode>#,##0</c:formatCode>
                <c:ptCount val="11"/>
                <c:pt idx="1">
                  <c:v>192753.67018829845</c:v>
                </c:pt>
                <c:pt idx="2">
                  <c:v>343556.46676042676</c:v>
                </c:pt>
                <c:pt idx="3">
                  <c:v>462069.92696261965</c:v>
                </c:pt>
                <c:pt idx="4">
                  <c:v>722548.56932603754</c:v>
                </c:pt>
                <c:pt idx="5">
                  <c:v>972741.45094297826</c:v>
                </c:pt>
                <c:pt idx="6">
                  <c:v>1305014.6078047454</c:v>
                </c:pt>
                <c:pt idx="7">
                  <c:v>1705043.8568837028</c:v>
                </c:pt>
                <c:pt idx="8">
                  <c:v>2256432.8855745606</c:v>
                </c:pt>
                <c:pt idx="9">
                  <c:v>2619703.5725873671</c:v>
                </c:pt>
                <c:pt idx="10">
                  <c:v>2779938.6049644146</c:v>
                </c:pt>
              </c:numCache>
            </c:numRef>
          </c:val>
        </c:ser>
        <c:ser>
          <c:idx val="2"/>
          <c:order val="1"/>
          <c:tx>
            <c:strRef>
              <c:f>Multiyear!$AF$126</c:f>
              <c:strCache>
                <c:ptCount val="1"/>
                <c:pt idx="0">
                  <c:v>Aging population</c:v>
                </c:pt>
              </c:strCache>
            </c:strRef>
          </c:tx>
          <c:invertIfNegative val="0"/>
          <c:cat>
            <c:multiLvlStrRef>
              <c:f>Multiyear!$AG$113:$AQ$114</c:f>
              <c:multiLvlStrCache>
                <c:ptCount val="11"/>
                <c:lvl>
                  <c:pt idx="0">
                    <c:v>Actual</c:v>
                  </c:pt>
                  <c:pt idx="1">
                    <c:v>Actual</c:v>
                  </c:pt>
                  <c:pt idx="2">
                    <c:v>Actual</c:v>
                  </c:pt>
                  <c:pt idx="3">
                    <c:v>Actual</c:v>
                  </c:pt>
                  <c:pt idx="4">
                    <c:v>Actual</c:v>
                  </c:pt>
                  <c:pt idx="5">
                    <c:v>Actual</c:v>
                  </c:pt>
                  <c:pt idx="6">
                    <c:v>Actual</c:v>
                  </c:pt>
                  <c:pt idx="7">
                    <c:v>Actual</c:v>
                  </c:pt>
                  <c:pt idx="8">
                    <c:v>Actual</c:v>
                  </c:pt>
                  <c:pt idx="9">
                    <c:v>Budget/Est</c:v>
                  </c:pt>
                  <c:pt idx="10">
                    <c:v>Budget/Est</c:v>
                  </c:pt>
                </c:lvl>
                <c:lvl>
                  <c:pt idx="0">
                    <c:v>2010</c:v>
                  </c:pt>
                  <c:pt idx="1">
                    <c:v>2011</c:v>
                  </c:pt>
                  <c:pt idx="2">
                    <c:v>2012</c:v>
                  </c:pt>
                  <c:pt idx="3">
                    <c:v>2013</c:v>
                  </c:pt>
                  <c:pt idx="4">
                    <c:v>2014</c:v>
                  </c:pt>
                  <c:pt idx="5">
                    <c:v>2015</c:v>
                  </c:pt>
                  <c:pt idx="6">
                    <c:v>2016</c:v>
                  </c:pt>
                  <c:pt idx="7">
                    <c:v>2017</c:v>
                  </c:pt>
                  <c:pt idx="8">
                    <c:v>2018</c:v>
                  </c:pt>
                  <c:pt idx="9">
                    <c:v>2019</c:v>
                  </c:pt>
                  <c:pt idx="10">
                    <c:v>2020</c:v>
                  </c:pt>
                </c:lvl>
              </c:multiLvlStrCache>
            </c:multiLvlStrRef>
          </c:cat>
          <c:val>
            <c:numRef>
              <c:f>Multiyear!$AG$126:$AQ$126</c:f>
              <c:numCache>
                <c:formatCode>#,##0</c:formatCode>
                <c:ptCount val="11"/>
                <c:pt idx="1">
                  <c:v>112463.49143598229</c:v>
                </c:pt>
                <c:pt idx="2">
                  <c:v>221294.69964473508</c:v>
                </c:pt>
                <c:pt idx="3">
                  <c:v>302102.82085246779</c:v>
                </c:pt>
                <c:pt idx="4">
                  <c:v>309257.87949288823</c:v>
                </c:pt>
                <c:pt idx="5">
                  <c:v>361634.5185608454</c:v>
                </c:pt>
                <c:pt idx="6">
                  <c:v>429008.72168360837</c:v>
                </c:pt>
                <c:pt idx="7">
                  <c:v>517898.80703339353</c:v>
                </c:pt>
                <c:pt idx="8">
                  <c:v>616558.63440366276</c:v>
                </c:pt>
                <c:pt idx="9">
                  <c:v>726520.55108759552</c:v>
                </c:pt>
                <c:pt idx="10">
                  <c:v>856209.70563920587</c:v>
                </c:pt>
              </c:numCache>
            </c:numRef>
          </c:val>
        </c:ser>
        <c:ser>
          <c:idx val="3"/>
          <c:order val="2"/>
          <c:tx>
            <c:strRef>
              <c:f>Multiyear!$AF$127</c:f>
              <c:strCache>
                <c:ptCount val="1"/>
                <c:pt idx="0">
                  <c:v>Wage rises</c:v>
                </c:pt>
              </c:strCache>
            </c:strRef>
          </c:tx>
          <c:invertIfNegative val="0"/>
          <c:cat>
            <c:multiLvlStrRef>
              <c:f>Multiyear!$AG$113:$AQ$114</c:f>
              <c:multiLvlStrCache>
                <c:ptCount val="11"/>
                <c:lvl>
                  <c:pt idx="0">
                    <c:v>Actual</c:v>
                  </c:pt>
                  <c:pt idx="1">
                    <c:v>Actual</c:v>
                  </c:pt>
                  <c:pt idx="2">
                    <c:v>Actual</c:v>
                  </c:pt>
                  <c:pt idx="3">
                    <c:v>Actual</c:v>
                  </c:pt>
                  <c:pt idx="4">
                    <c:v>Actual</c:v>
                  </c:pt>
                  <c:pt idx="5">
                    <c:v>Actual</c:v>
                  </c:pt>
                  <c:pt idx="6">
                    <c:v>Actual</c:v>
                  </c:pt>
                  <c:pt idx="7">
                    <c:v>Actual</c:v>
                  </c:pt>
                  <c:pt idx="8">
                    <c:v>Actual</c:v>
                  </c:pt>
                  <c:pt idx="9">
                    <c:v>Budget/Est</c:v>
                  </c:pt>
                  <c:pt idx="10">
                    <c:v>Budget/Est</c:v>
                  </c:pt>
                </c:lvl>
                <c:lvl>
                  <c:pt idx="0">
                    <c:v>2010</c:v>
                  </c:pt>
                  <c:pt idx="1">
                    <c:v>2011</c:v>
                  </c:pt>
                  <c:pt idx="2">
                    <c:v>2012</c:v>
                  </c:pt>
                  <c:pt idx="3">
                    <c:v>2013</c:v>
                  </c:pt>
                  <c:pt idx="4">
                    <c:v>2014</c:v>
                  </c:pt>
                  <c:pt idx="5">
                    <c:v>2015</c:v>
                  </c:pt>
                  <c:pt idx="6">
                    <c:v>2016</c:v>
                  </c:pt>
                  <c:pt idx="7">
                    <c:v>2017</c:v>
                  </c:pt>
                  <c:pt idx="8">
                    <c:v>2018</c:v>
                  </c:pt>
                  <c:pt idx="9">
                    <c:v>2019</c:v>
                  </c:pt>
                  <c:pt idx="10">
                    <c:v>2020</c:v>
                  </c:pt>
                </c:lvl>
              </c:multiLvlStrCache>
            </c:multiLvlStrRef>
          </c:cat>
          <c:val>
            <c:numRef>
              <c:f>Multiyear!$AG$127:$AQ$127</c:f>
              <c:numCache>
                <c:formatCode>#,##0</c:formatCode>
                <c:ptCount val="11"/>
                <c:pt idx="1">
                  <c:v>206198.35938748345</c:v>
                </c:pt>
                <c:pt idx="2">
                  <c:v>418052.0980213657</c:v>
                </c:pt>
                <c:pt idx="3">
                  <c:v>504593.72990850732</c:v>
                </c:pt>
                <c:pt idx="4">
                  <c:v>697103.44479076192</c:v>
                </c:pt>
                <c:pt idx="5">
                  <c:v>908556.30701722391</c:v>
                </c:pt>
                <c:pt idx="6">
                  <c:v>1115305.6443273816</c:v>
                </c:pt>
                <c:pt idx="7">
                  <c:v>1351633.9819798339</c:v>
                </c:pt>
                <c:pt idx="8">
                  <c:v>1738198.3950438965</c:v>
                </c:pt>
                <c:pt idx="9">
                  <c:v>2277444.9054744504</c:v>
                </c:pt>
                <c:pt idx="10">
                  <c:v>2771755.1684379485</c:v>
                </c:pt>
              </c:numCache>
            </c:numRef>
          </c:val>
        </c:ser>
        <c:ser>
          <c:idx val="4"/>
          <c:order val="3"/>
          <c:tx>
            <c:strRef>
              <c:f>Multiyear!$AF$128</c:f>
              <c:strCache>
                <c:ptCount val="1"/>
                <c:pt idx="0">
                  <c:v>Price rises</c:v>
                </c:pt>
              </c:strCache>
            </c:strRef>
          </c:tx>
          <c:invertIfNegative val="0"/>
          <c:cat>
            <c:multiLvlStrRef>
              <c:f>Multiyear!$AG$113:$AQ$114</c:f>
              <c:multiLvlStrCache>
                <c:ptCount val="11"/>
                <c:lvl>
                  <c:pt idx="0">
                    <c:v>Actual</c:v>
                  </c:pt>
                  <c:pt idx="1">
                    <c:v>Actual</c:v>
                  </c:pt>
                  <c:pt idx="2">
                    <c:v>Actual</c:v>
                  </c:pt>
                  <c:pt idx="3">
                    <c:v>Actual</c:v>
                  </c:pt>
                  <c:pt idx="4">
                    <c:v>Actual</c:v>
                  </c:pt>
                  <c:pt idx="5">
                    <c:v>Actual</c:v>
                  </c:pt>
                  <c:pt idx="6">
                    <c:v>Actual</c:v>
                  </c:pt>
                  <c:pt idx="7">
                    <c:v>Actual</c:v>
                  </c:pt>
                  <c:pt idx="8">
                    <c:v>Actual</c:v>
                  </c:pt>
                  <c:pt idx="9">
                    <c:v>Budget/Est</c:v>
                  </c:pt>
                  <c:pt idx="10">
                    <c:v>Budget/Est</c:v>
                  </c:pt>
                </c:lvl>
                <c:lvl>
                  <c:pt idx="0">
                    <c:v>2010</c:v>
                  </c:pt>
                  <c:pt idx="1">
                    <c:v>2011</c:v>
                  </c:pt>
                  <c:pt idx="2">
                    <c:v>2012</c:v>
                  </c:pt>
                  <c:pt idx="3">
                    <c:v>2013</c:v>
                  </c:pt>
                  <c:pt idx="4">
                    <c:v>2014</c:v>
                  </c:pt>
                  <c:pt idx="5">
                    <c:v>2015</c:v>
                  </c:pt>
                  <c:pt idx="6">
                    <c:v>2016</c:v>
                  </c:pt>
                  <c:pt idx="7">
                    <c:v>2017</c:v>
                  </c:pt>
                  <c:pt idx="8">
                    <c:v>2018</c:v>
                  </c:pt>
                  <c:pt idx="9">
                    <c:v>2019</c:v>
                  </c:pt>
                  <c:pt idx="10">
                    <c:v>2020</c:v>
                  </c:pt>
                </c:lvl>
              </c:multiLvlStrCache>
            </c:multiLvlStrRef>
          </c:cat>
          <c:val>
            <c:numRef>
              <c:f>Multiyear!$AG$128:$AQ$128</c:f>
              <c:numCache>
                <c:formatCode>#,##0</c:formatCode>
                <c:ptCount val="11"/>
                <c:pt idx="1">
                  <c:v>154436.98636366799</c:v>
                </c:pt>
                <c:pt idx="2">
                  <c:v>212534.1563783139</c:v>
                </c:pt>
                <c:pt idx="3">
                  <c:v>253384.9542752225</c:v>
                </c:pt>
                <c:pt idx="4">
                  <c:v>342146.18277023174</c:v>
                </c:pt>
                <c:pt idx="5">
                  <c:v>377910.16551696882</c:v>
                </c:pt>
                <c:pt idx="6">
                  <c:v>417106.28359964676</c:v>
                </c:pt>
                <c:pt idx="7">
                  <c:v>537073.15847941115</c:v>
                </c:pt>
                <c:pt idx="8">
                  <c:v>661545.60376602411</c:v>
                </c:pt>
                <c:pt idx="9">
                  <c:v>801809.69198396057</c:v>
                </c:pt>
                <c:pt idx="10">
                  <c:v>980526.40396546572</c:v>
                </c:pt>
              </c:numCache>
            </c:numRef>
          </c:val>
        </c:ser>
        <c:ser>
          <c:idx val="5"/>
          <c:order val="4"/>
          <c:tx>
            <c:strRef>
              <c:f>Multiyear!$AF$129</c:f>
              <c:strCache>
                <c:ptCount val="1"/>
                <c:pt idx="0">
                  <c:v>New initiatives (less savings)</c:v>
                </c:pt>
              </c:strCache>
            </c:strRef>
          </c:tx>
          <c:invertIfNegative val="0"/>
          <c:cat>
            <c:multiLvlStrRef>
              <c:f>Multiyear!$AG$113:$AQ$114</c:f>
              <c:multiLvlStrCache>
                <c:ptCount val="11"/>
                <c:lvl>
                  <c:pt idx="0">
                    <c:v>Actual</c:v>
                  </c:pt>
                  <c:pt idx="1">
                    <c:v>Actual</c:v>
                  </c:pt>
                  <c:pt idx="2">
                    <c:v>Actual</c:v>
                  </c:pt>
                  <c:pt idx="3">
                    <c:v>Actual</c:v>
                  </c:pt>
                  <c:pt idx="4">
                    <c:v>Actual</c:v>
                  </c:pt>
                  <c:pt idx="5">
                    <c:v>Actual</c:v>
                  </c:pt>
                  <c:pt idx="6">
                    <c:v>Actual</c:v>
                  </c:pt>
                  <c:pt idx="7">
                    <c:v>Actual</c:v>
                  </c:pt>
                  <c:pt idx="8">
                    <c:v>Actual</c:v>
                  </c:pt>
                  <c:pt idx="9">
                    <c:v>Budget/Est</c:v>
                  </c:pt>
                  <c:pt idx="10">
                    <c:v>Budget/Est</c:v>
                  </c:pt>
                </c:lvl>
                <c:lvl>
                  <c:pt idx="0">
                    <c:v>2010</c:v>
                  </c:pt>
                  <c:pt idx="1">
                    <c:v>2011</c:v>
                  </c:pt>
                  <c:pt idx="2">
                    <c:v>2012</c:v>
                  </c:pt>
                  <c:pt idx="3">
                    <c:v>2013</c:v>
                  </c:pt>
                  <c:pt idx="4">
                    <c:v>2014</c:v>
                  </c:pt>
                  <c:pt idx="5">
                    <c:v>2015</c:v>
                  </c:pt>
                  <c:pt idx="6">
                    <c:v>2016</c:v>
                  </c:pt>
                  <c:pt idx="7">
                    <c:v>2017</c:v>
                  </c:pt>
                  <c:pt idx="8">
                    <c:v>2018</c:v>
                  </c:pt>
                  <c:pt idx="9">
                    <c:v>2019</c:v>
                  </c:pt>
                  <c:pt idx="10">
                    <c:v>2020</c:v>
                  </c:pt>
                </c:lvl>
              </c:multiLvlStrCache>
            </c:multiLvlStrRef>
          </c:cat>
          <c:val>
            <c:numRef>
              <c:f>Multiyear!$AG$129:$AQ$129</c:f>
              <c:numCache>
                <c:formatCode>#,##0</c:formatCode>
                <c:ptCount val="11"/>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150"/>
        <c:overlap val="100"/>
        <c:axId val="486026016"/>
        <c:axId val="486026800"/>
      </c:barChart>
      <c:lineChart>
        <c:grouping val="standard"/>
        <c:varyColors val="0"/>
        <c:ser>
          <c:idx val="6"/>
          <c:order val="5"/>
          <c:tx>
            <c:strRef>
              <c:f>Multiyear!$AF$133</c:f>
              <c:strCache>
                <c:ptCount val="1"/>
                <c:pt idx="0">
                  <c:v>Increase actually funded</c:v>
                </c:pt>
              </c:strCache>
            </c:strRef>
          </c:tx>
          <c:spPr>
            <a:ln>
              <a:solidFill>
                <a:schemeClr val="tx1"/>
              </a:solidFill>
            </a:ln>
          </c:spPr>
          <c:marker>
            <c:symbol val="none"/>
          </c:marker>
          <c:cat>
            <c:numRef>
              <c:f>Multiyear!$AG$113:$AO$113</c:f>
              <c:numCache>
                <c:formatCode>General</c:formatCode>
                <c:ptCount val="9"/>
                <c:pt idx="0">
                  <c:v>2010</c:v>
                </c:pt>
                <c:pt idx="1">
                  <c:v>2011</c:v>
                </c:pt>
                <c:pt idx="2">
                  <c:v>2012</c:v>
                </c:pt>
                <c:pt idx="3">
                  <c:v>2013</c:v>
                </c:pt>
                <c:pt idx="4">
                  <c:v>2014</c:v>
                </c:pt>
                <c:pt idx="5">
                  <c:v>2015</c:v>
                </c:pt>
                <c:pt idx="6">
                  <c:v>2016</c:v>
                </c:pt>
                <c:pt idx="7">
                  <c:v>2017</c:v>
                </c:pt>
                <c:pt idx="8">
                  <c:v>2018</c:v>
                </c:pt>
              </c:numCache>
            </c:numRef>
          </c:cat>
          <c:val>
            <c:numRef>
              <c:f>Multiyear!$AG$133:$AQ$133</c:f>
              <c:numCache>
                <c:formatCode>#,##0</c:formatCode>
                <c:ptCount val="11"/>
                <c:pt idx="1">
                  <c:v>450386</c:v>
                </c:pt>
                <c:pt idx="2">
                  <c:v>920225</c:v>
                </c:pt>
                <c:pt idx="3">
                  <c:v>1275486</c:v>
                </c:pt>
                <c:pt idx="4">
                  <c:v>1701842</c:v>
                </c:pt>
                <c:pt idx="5">
                  <c:v>1996028</c:v>
                </c:pt>
                <c:pt idx="6">
                  <c:v>2444004</c:v>
                </c:pt>
                <c:pt idx="7">
                  <c:v>2926767</c:v>
                </c:pt>
                <c:pt idx="8">
                  <c:v>3827698</c:v>
                </c:pt>
                <c:pt idx="9">
                  <c:v>4832820</c:v>
                </c:pt>
                <c:pt idx="10">
                  <c:v>5808718</c:v>
                </c:pt>
              </c:numCache>
            </c:numRef>
          </c:val>
          <c:smooth val="0"/>
        </c:ser>
        <c:dLbls>
          <c:showLegendKey val="0"/>
          <c:showVal val="0"/>
          <c:showCatName val="0"/>
          <c:showSerName val="0"/>
          <c:showPercent val="0"/>
          <c:showBubbleSize val="0"/>
        </c:dLbls>
        <c:marker val="1"/>
        <c:smooth val="0"/>
        <c:axId val="486026016"/>
        <c:axId val="486026800"/>
      </c:lineChart>
      <c:catAx>
        <c:axId val="486026016"/>
        <c:scaling>
          <c:orientation val="minMax"/>
        </c:scaling>
        <c:delete val="0"/>
        <c:axPos val="b"/>
        <c:numFmt formatCode="General" sourceLinked="1"/>
        <c:majorTickMark val="out"/>
        <c:minorTickMark val="none"/>
        <c:tickLblPos val="nextTo"/>
        <c:txPr>
          <a:bodyPr rot="0" vert="horz"/>
          <a:lstStyle/>
          <a:p>
            <a:pPr>
              <a:defRPr sz="1100" b="1" i="0" u="none" strike="noStrike" baseline="0">
                <a:solidFill>
                  <a:srgbClr val="000000"/>
                </a:solidFill>
                <a:latin typeface="Calibri"/>
                <a:ea typeface="Calibri"/>
                <a:cs typeface="Calibri"/>
              </a:defRPr>
            </a:pPr>
            <a:endParaRPr lang="en-US"/>
          </a:p>
        </c:txPr>
        <c:crossAx val="486026800"/>
        <c:crosses val="autoZero"/>
        <c:auto val="1"/>
        <c:lblAlgn val="ctr"/>
        <c:lblOffset val="100"/>
        <c:noMultiLvlLbl val="0"/>
      </c:catAx>
      <c:valAx>
        <c:axId val="486026800"/>
        <c:scaling>
          <c:orientation val="minMax"/>
        </c:scaling>
        <c:delete val="0"/>
        <c:axPos val="l"/>
        <c:majorGridlines/>
        <c:title>
          <c:tx>
            <c:rich>
              <a:bodyPr rot="0" vert="horz"/>
              <a:lstStyle/>
              <a:p>
                <a:pPr algn="ctr">
                  <a:defRPr sz="1200" b="1" i="0" u="none" strike="noStrike" baseline="0">
                    <a:solidFill>
                      <a:srgbClr val="000000"/>
                    </a:solidFill>
                    <a:latin typeface="Calibri"/>
                    <a:ea typeface="Calibri"/>
                    <a:cs typeface="Calibri"/>
                  </a:defRPr>
                </a:pPr>
                <a:r>
                  <a:rPr lang="en-NZ"/>
                  <a:t>$ billions</a:t>
                </a:r>
              </a:p>
            </c:rich>
          </c:tx>
          <c:layout>
            <c:manualLayout>
              <c:xMode val="edge"/>
              <c:yMode val="edge"/>
              <c:x val="1.8201191973121207E-2"/>
              <c:y val="8.2437725024148922E-2"/>
            </c:manualLayout>
          </c:layout>
          <c:overlay val="0"/>
        </c:title>
        <c:numFmt formatCode="#,##0" sourceLinked="0"/>
        <c:majorTickMark val="out"/>
        <c:minorTickMark val="none"/>
        <c:tickLblPos val="nextTo"/>
        <c:txPr>
          <a:bodyPr rot="0" vert="horz"/>
          <a:lstStyle/>
          <a:p>
            <a:pPr>
              <a:defRPr sz="1200" b="1" i="0" u="none" strike="noStrike" baseline="0">
                <a:solidFill>
                  <a:srgbClr val="000000"/>
                </a:solidFill>
                <a:latin typeface="Calibri"/>
                <a:ea typeface="Calibri"/>
                <a:cs typeface="Calibri"/>
              </a:defRPr>
            </a:pPr>
            <a:endParaRPr lang="en-US"/>
          </a:p>
        </c:txPr>
        <c:crossAx val="486026016"/>
        <c:crosses val="autoZero"/>
        <c:crossBetween val="between"/>
        <c:dispUnits>
          <c:builtInUnit val="millions"/>
        </c:dispUnits>
      </c:valAx>
    </c:plotArea>
    <c:legend>
      <c:legendPos val="r"/>
      <c:layout>
        <c:manualLayout>
          <c:xMode val="edge"/>
          <c:yMode val="edge"/>
          <c:x val="0.17537497394379928"/>
          <c:y val="0.24290275053908222"/>
          <c:w val="0.21659769898532114"/>
          <c:h val="0.24910087911873469"/>
        </c:manualLayout>
      </c:layout>
      <c:overlay val="0"/>
      <c:spPr>
        <a:solidFill>
          <a:schemeClr val="bg1"/>
        </a:solidFill>
      </c:spPr>
      <c:txPr>
        <a:bodyPr/>
        <a:lstStyle/>
        <a:p>
          <a:pPr>
            <a:defRPr sz="92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Demographics!$C$56</c:f>
              <c:strCache>
                <c:ptCount val="1"/>
                <c:pt idx="0">
                  <c:v>2015/16</c:v>
                </c:pt>
              </c:strCache>
            </c:strRef>
          </c:tx>
          <c:invertIfNegative val="0"/>
          <c:cat>
            <c:strLit>
              <c:ptCount val="2"/>
              <c:pt idx="0">
                <c:v>series 14</c:v>
              </c:pt>
              <c:pt idx="1">
                <c:v>series 15</c:v>
              </c:pt>
            </c:strLit>
          </c:cat>
          <c:val>
            <c:numRef>
              <c:f>Demographics!$N$56:$O$56</c:f>
              <c:numCache>
                <c:formatCode>_-* #,##0_-;\-* #,##0_-;_-* "-"??_-;_-@_-</c:formatCode>
                <c:ptCount val="2"/>
                <c:pt idx="0">
                  <c:v>4608397.5</c:v>
                </c:pt>
                <c:pt idx="1">
                  <c:v>4638750</c:v>
                </c:pt>
              </c:numCache>
            </c:numRef>
          </c:val>
        </c:ser>
        <c:ser>
          <c:idx val="1"/>
          <c:order val="1"/>
          <c:tx>
            <c:strRef>
              <c:f>Demographics!$C$57</c:f>
              <c:strCache>
                <c:ptCount val="1"/>
                <c:pt idx="0">
                  <c:v>2016/17</c:v>
                </c:pt>
              </c:strCache>
            </c:strRef>
          </c:tx>
          <c:invertIfNegative val="0"/>
          <c:cat>
            <c:strLit>
              <c:ptCount val="2"/>
              <c:pt idx="0">
                <c:v>series 14</c:v>
              </c:pt>
              <c:pt idx="1">
                <c:v>series 15</c:v>
              </c:pt>
            </c:strLit>
          </c:cat>
          <c:val>
            <c:numRef>
              <c:f>Demographics!$N$57:$O$57</c:f>
              <c:numCache>
                <c:formatCode>_-* #,##0_-;\-* #,##0_-;_-* "-"??_-;_-@_-</c:formatCode>
                <c:ptCount val="2"/>
                <c:pt idx="0">
                  <c:v>4660727.5</c:v>
                </c:pt>
                <c:pt idx="1">
                  <c:v>4715555</c:v>
                </c:pt>
              </c:numCache>
            </c:numRef>
          </c:val>
        </c:ser>
        <c:dLbls>
          <c:showLegendKey val="0"/>
          <c:showVal val="0"/>
          <c:showCatName val="0"/>
          <c:showSerName val="0"/>
          <c:showPercent val="0"/>
          <c:showBubbleSize val="0"/>
        </c:dLbls>
        <c:gapWidth val="150"/>
        <c:axId val="659132776"/>
        <c:axId val="659133560"/>
      </c:barChart>
      <c:catAx>
        <c:axId val="65913277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33560"/>
        <c:crosses val="autoZero"/>
        <c:auto val="1"/>
        <c:lblAlgn val="ctr"/>
        <c:lblOffset val="100"/>
        <c:noMultiLvlLbl val="0"/>
      </c:catAx>
      <c:valAx>
        <c:axId val="659133560"/>
        <c:scaling>
          <c:orientation val="minMax"/>
        </c:scaling>
        <c:delete val="0"/>
        <c:axPos val="l"/>
        <c:majorGridlines/>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32776"/>
        <c:crosses val="autoZero"/>
        <c:crossBetween val="between"/>
      </c:valAx>
      <c:dTable>
        <c:showHorzBorder val="1"/>
        <c:showVertBorder val="1"/>
        <c:showOutline val="1"/>
        <c:showKeys val="0"/>
        <c:txPr>
          <a:bodyPr/>
          <a:lstStyle/>
          <a:p>
            <a:pPr rtl="0">
              <a:defRPr sz="1000" b="0" i="0" u="none" strike="noStrike" baseline="0">
                <a:solidFill>
                  <a:srgbClr val="000000"/>
                </a:solidFill>
                <a:latin typeface="Calibri"/>
                <a:ea typeface="Calibri"/>
                <a:cs typeface="Calibri"/>
              </a:defRPr>
            </a:pPr>
            <a:endParaRPr lang="en-US"/>
          </a:p>
        </c:txPr>
      </c:dTable>
    </c:plotArea>
    <c:legend>
      <c:legendPos val="r"/>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NZ" sz="1800" b="1" i="0" u="none" strike="noStrike" baseline="0">
                <a:solidFill>
                  <a:srgbClr val="000000"/>
                </a:solidFill>
                <a:latin typeface="Calibri"/>
                <a:cs typeface="Calibri"/>
              </a:rPr>
              <a:t>Real average hourly earnings </a:t>
            </a:r>
          </a:p>
          <a:p>
            <a:pPr>
              <a:defRPr sz="1000" b="0" i="0" u="none" strike="noStrike" baseline="0">
                <a:solidFill>
                  <a:srgbClr val="000000"/>
                </a:solidFill>
                <a:latin typeface="Calibri"/>
                <a:ea typeface="Calibri"/>
                <a:cs typeface="Calibri"/>
              </a:defRPr>
            </a:pPr>
            <a:r>
              <a:rPr lang="en-NZ" sz="1800" b="1" i="0" u="none" strike="noStrike" baseline="0">
                <a:solidFill>
                  <a:srgbClr val="000000"/>
                </a:solidFill>
                <a:latin typeface="Calibri"/>
                <a:cs typeface="Calibri"/>
              </a:rPr>
              <a:t>(March 2018 $)</a:t>
            </a:r>
          </a:p>
        </c:rich>
      </c:tx>
      <c:layout>
        <c:manualLayout>
          <c:xMode val="edge"/>
          <c:yMode val="edge"/>
          <c:x val="0.33796117039007606"/>
          <c:y val="7.1166963262719096E-2"/>
        </c:manualLayout>
      </c:layout>
      <c:overlay val="1"/>
    </c:title>
    <c:autoTitleDeleted val="0"/>
    <c:plotArea>
      <c:layout>
        <c:manualLayout>
          <c:layoutTarget val="inner"/>
          <c:xMode val="edge"/>
          <c:yMode val="edge"/>
          <c:x val="3.5222297567690922E-2"/>
          <c:y val="0.19851129835013206"/>
          <c:w val="0.91812142795958074"/>
          <c:h val="0.66950807362374753"/>
        </c:manualLayout>
      </c:layout>
      <c:lineChart>
        <c:grouping val="standard"/>
        <c:varyColors val="0"/>
        <c:ser>
          <c:idx val="0"/>
          <c:order val="0"/>
          <c:tx>
            <c:strRef>
              <c:f>'Wage, price statistics'!$BR$2</c:f>
              <c:strCache>
                <c:ptCount val="1"/>
                <c:pt idx="0">
                  <c:v>Public Administration and Safety</c:v>
                </c:pt>
              </c:strCache>
            </c:strRef>
          </c:tx>
          <c:marker>
            <c:symbol val="none"/>
          </c:marker>
          <c:cat>
            <c:numRef>
              <c:f>'Wage, price statistics'!$BP$3:$BP$51</c:f>
              <c:numCache>
                <c:formatCode>mmm\-yy</c:formatCode>
                <c:ptCount val="49"/>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pt idx="23">
                  <c:v>41244</c:v>
                </c:pt>
                <c:pt idx="24">
                  <c:v>41334</c:v>
                </c:pt>
                <c:pt idx="25">
                  <c:v>41426</c:v>
                </c:pt>
                <c:pt idx="26">
                  <c:v>41518</c:v>
                </c:pt>
                <c:pt idx="27">
                  <c:v>41609</c:v>
                </c:pt>
                <c:pt idx="28">
                  <c:v>41699</c:v>
                </c:pt>
                <c:pt idx="29">
                  <c:v>41791</c:v>
                </c:pt>
                <c:pt idx="30">
                  <c:v>41883</c:v>
                </c:pt>
                <c:pt idx="31">
                  <c:v>41974</c:v>
                </c:pt>
                <c:pt idx="32">
                  <c:v>42064</c:v>
                </c:pt>
                <c:pt idx="33">
                  <c:v>42156</c:v>
                </c:pt>
                <c:pt idx="34">
                  <c:v>42248</c:v>
                </c:pt>
                <c:pt idx="35">
                  <c:v>42339</c:v>
                </c:pt>
                <c:pt idx="36">
                  <c:v>42430</c:v>
                </c:pt>
                <c:pt idx="37">
                  <c:v>42522</c:v>
                </c:pt>
                <c:pt idx="38">
                  <c:v>42614</c:v>
                </c:pt>
                <c:pt idx="39">
                  <c:v>42705</c:v>
                </c:pt>
                <c:pt idx="40">
                  <c:v>42795</c:v>
                </c:pt>
                <c:pt idx="41">
                  <c:v>42887</c:v>
                </c:pt>
                <c:pt idx="42">
                  <c:v>42979</c:v>
                </c:pt>
                <c:pt idx="43">
                  <c:v>43070</c:v>
                </c:pt>
                <c:pt idx="44">
                  <c:v>43160</c:v>
                </c:pt>
                <c:pt idx="45">
                  <c:v>43252</c:v>
                </c:pt>
                <c:pt idx="46">
                  <c:v>43344</c:v>
                </c:pt>
                <c:pt idx="47">
                  <c:v>43435</c:v>
                </c:pt>
                <c:pt idx="48">
                  <c:v>43525</c:v>
                </c:pt>
              </c:numCache>
            </c:numRef>
          </c:cat>
          <c:val>
            <c:numRef>
              <c:f>'Wage, price statistics'!$BR$3:$BR$51</c:f>
              <c:numCache>
                <c:formatCode>0.00</c:formatCode>
                <c:ptCount val="49"/>
                <c:pt idx="0">
                  <c:v>33.17803627749052</c:v>
                </c:pt>
                <c:pt idx="1">
                  <c:v>33.5433599942779</c:v>
                </c:pt>
                <c:pt idx="2">
                  <c:v>34.054691718879056</c:v>
                </c:pt>
                <c:pt idx="3">
                  <c:v>34.65527222661418</c:v>
                </c:pt>
                <c:pt idx="4">
                  <c:v>34.700027598504796</c:v>
                </c:pt>
                <c:pt idx="5">
                  <c:v>34.179608932969714</c:v>
                </c:pt>
                <c:pt idx="6">
                  <c:v>34.068934926945737</c:v>
                </c:pt>
                <c:pt idx="7">
                  <c:v>34.368645578809435</c:v>
                </c:pt>
                <c:pt idx="8">
                  <c:v>34.963102195675098</c:v>
                </c:pt>
                <c:pt idx="9">
                  <c:v>34.95522203987889</c:v>
                </c:pt>
                <c:pt idx="10">
                  <c:v>34.979291516432681</c:v>
                </c:pt>
                <c:pt idx="11">
                  <c:v>35.423077103883671</c:v>
                </c:pt>
                <c:pt idx="12">
                  <c:v>35.030183941172062</c:v>
                </c:pt>
                <c:pt idx="13">
                  <c:v>35.630281964839533</c:v>
                </c:pt>
                <c:pt idx="14">
                  <c:v>35.664351043257199</c:v>
                </c:pt>
                <c:pt idx="15">
                  <c:v>34.804554934832822</c:v>
                </c:pt>
                <c:pt idx="16">
                  <c:v>34.443410896965077</c:v>
                </c:pt>
                <c:pt idx="17">
                  <c:v>34.768257967371071</c:v>
                </c:pt>
                <c:pt idx="18">
                  <c:v>34.748553878135738</c:v>
                </c:pt>
                <c:pt idx="19">
                  <c:v>35.205320533396431</c:v>
                </c:pt>
                <c:pt idx="20">
                  <c:v>35.07788225032148</c:v>
                </c:pt>
                <c:pt idx="21">
                  <c:v>35.06544740686725</c:v>
                </c:pt>
                <c:pt idx="22">
                  <c:v>35.083031745185494</c:v>
                </c:pt>
                <c:pt idx="23">
                  <c:v>35.799430725096016</c:v>
                </c:pt>
                <c:pt idx="24">
                  <c:v>35.111240660997218</c:v>
                </c:pt>
                <c:pt idx="25">
                  <c:v>35.682604888371003</c:v>
                </c:pt>
                <c:pt idx="26">
                  <c:v>35.892384273188874</c:v>
                </c:pt>
                <c:pt idx="27">
                  <c:v>36.42334545319644</c:v>
                </c:pt>
                <c:pt idx="28">
                  <c:v>35.942329317943695</c:v>
                </c:pt>
                <c:pt idx="29">
                  <c:v>35.536312761131647</c:v>
                </c:pt>
                <c:pt idx="30">
                  <c:v>35.858383367852099</c:v>
                </c:pt>
                <c:pt idx="31">
                  <c:v>36.664405719186554</c:v>
                </c:pt>
                <c:pt idx="32">
                  <c:v>36.567876342467827</c:v>
                </c:pt>
                <c:pt idx="33">
                  <c:v>36.698532306972716</c:v>
                </c:pt>
                <c:pt idx="34">
                  <c:v>36.952719366008509</c:v>
                </c:pt>
                <c:pt idx="35">
                  <c:v>37.242789408667051</c:v>
                </c:pt>
                <c:pt idx="36">
                  <c:v>37.337952607094209</c:v>
                </c:pt>
                <c:pt idx="37">
                  <c:v>37.454432250764896</c:v>
                </c:pt>
                <c:pt idx="38">
                  <c:v>38.006790981322524</c:v>
                </c:pt>
                <c:pt idx="39">
                  <c:v>38.285435082031604</c:v>
                </c:pt>
                <c:pt idx="40">
                  <c:v>38.033819999999999</c:v>
                </c:pt>
                <c:pt idx="41">
                  <c:v>38.044080000000001</c:v>
                </c:pt>
                <c:pt idx="42">
                  <c:v>38.063001043162799</c:v>
                </c:pt>
                <c:pt idx="43">
                  <c:v>38.602485089463222</c:v>
                </c:pt>
                <c:pt idx="44">
                  <c:v>38.40142433234422</c:v>
                </c:pt>
                <c:pt idx="45">
                  <c:v>38.290522167487687</c:v>
                </c:pt>
                <c:pt idx="46">
                  <c:v>38.024121093750004</c:v>
                </c:pt>
                <c:pt idx="47">
                  <c:v>38.487512195121958</c:v>
                </c:pt>
                <c:pt idx="48">
                  <c:v>38.44</c:v>
                </c:pt>
              </c:numCache>
            </c:numRef>
          </c:val>
          <c:smooth val="0"/>
        </c:ser>
        <c:ser>
          <c:idx val="2"/>
          <c:order val="1"/>
          <c:tx>
            <c:strRef>
              <c:f>'Wage, price statistics'!$BQ$2</c:f>
              <c:strCache>
                <c:ptCount val="1"/>
                <c:pt idx="0">
                  <c:v>Health Care and Social Assistance</c:v>
                </c:pt>
              </c:strCache>
            </c:strRef>
          </c:tx>
          <c:marker>
            <c:symbol val="none"/>
          </c:marker>
          <c:cat>
            <c:numRef>
              <c:f>'Wage, price statistics'!$BP$3:$BP$51</c:f>
              <c:numCache>
                <c:formatCode>mmm\-yy</c:formatCode>
                <c:ptCount val="49"/>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pt idx="23">
                  <c:v>41244</c:v>
                </c:pt>
                <c:pt idx="24">
                  <c:v>41334</c:v>
                </c:pt>
                <c:pt idx="25">
                  <c:v>41426</c:v>
                </c:pt>
                <c:pt idx="26">
                  <c:v>41518</c:v>
                </c:pt>
                <c:pt idx="27">
                  <c:v>41609</c:v>
                </c:pt>
                <c:pt idx="28">
                  <c:v>41699</c:v>
                </c:pt>
                <c:pt idx="29">
                  <c:v>41791</c:v>
                </c:pt>
                <c:pt idx="30">
                  <c:v>41883</c:v>
                </c:pt>
                <c:pt idx="31">
                  <c:v>41974</c:v>
                </c:pt>
                <c:pt idx="32">
                  <c:v>42064</c:v>
                </c:pt>
                <c:pt idx="33">
                  <c:v>42156</c:v>
                </c:pt>
                <c:pt idx="34">
                  <c:v>42248</c:v>
                </c:pt>
                <c:pt idx="35">
                  <c:v>42339</c:v>
                </c:pt>
                <c:pt idx="36">
                  <c:v>42430</c:v>
                </c:pt>
                <c:pt idx="37">
                  <c:v>42522</c:v>
                </c:pt>
                <c:pt idx="38">
                  <c:v>42614</c:v>
                </c:pt>
                <c:pt idx="39">
                  <c:v>42705</c:v>
                </c:pt>
                <c:pt idx="40">
                  <c:v>42795</c:v>
                </c:pt>
                <c:pt idx="41">
                  <c:v>42887</c:v>
                </c:pt>
                <c:pt idx="42">
                  <c:v>42979</c:v>
                </c:pt>
                <c:pt idx="43">
                  <c:v>43070</c:v>
                </c:pt>
                <c:pt idx="44">
                  <c:v>43160</c:v>
                </c:pt>
                <c:pt idx="45">
                  <c:v>43252</c:v>
                </c:pt>
                <c:pt idx="46">
                  <c:v>43344</c:v>
                </c:pt>
                <c:pt idx="47">
                  <c:v>43435</c:v>
                </c:pt>
                <c:pt idx="48">
                  <c:v>43525</c:v>
                </c:pt>
              </c:numCache>
            </c:numRef>
          </c:cat>
          <c:val>
            <c:numRef>
              <c:f>'Wage, price statistics'!$BQ$3:$BQ$51</c:f>
              <c:numCache>
                <c:formatCode>0.00</c:formatCode>
                <c:ptCount val="49"/>
                <c:pt idx="0">
                  <c:v>29.715763723007651</c:v>
                </c:pt>
                <c:pt idx="1">
                  <c:v>29.671075053761992</c:v>
                </c:pt>
                <c:pt idx="2">
                  <c:v>29.894496946734915</c:v>
                </c:pt>
                <c:pt idx="3">
                  <c:v>30.082280406721441</c:v>
                </c:pt>
                <c:pt idx="4">
                  <c:v>30.555302079794505</c:v>
                </c:pt>
                <c:pt idx="5">
                  <c:v>30.350259753174633</c:v>
                </c:pt>
                <c:pt idx="6">
                  <c:v>30.471666515050195</c:v>
                </c:pt>
                <c:pt idx="7">
                  <c:v>31.106616397891369</c:v>
                </c:pt>
                <c:pt idx="8">
                  <c:v>31.195324783691373</c:v>
                </c:pt>
                <c:pt idx="9">
                  <c:v>31.313083391915473</c:v>
                </c:pt>
                <c:pt idx="10">
                  <c:v>30.660009542646581</c:v>
                </c:pt>
                <c:pt idx="11">
                  <c:v>31.280027150213062</c:v>
                </c:pt>
                <c:pt idx="12">
                  <c:v>31.223303067696083</c:v>
                </c:pt>
                <c:pt idx="13">
                  <c:v>30.811666896674605</c:v>
                </c:pt>
                <c:pt idx="14">
                  <c:v>30.761918026834859</c:v>
                </c:pt>
                <c:pt idx="15">
                  <c:v>30.335057098319009</c:v>
                </c:pt>
                <c:pt idx="16">
                  <c:v>30.612706498290507</c:v>
                </c:pt>
                <c:pt idx="17">
                  <c:v>30.495610881324531</c:v>
                </c:pt>
                <c:pt idx="18">
                  <c:v>30.050462793054464</c:v>
                </c:pt>
                <c:pt idx="19">
                  <c:v>30.643075971833181</c:v>
                </c:pt>
                <c:pt idx="20">
                  <c:v>30.722864829841029</c:v>
                </c:pt>
                <c:pt idx="21">
                  <c:v>30.919195179703888</c:v>
                </c:pt>
                <c:pt idx="22">
                  <c:v>30.335113793142632</c:v>
                </c:pt>
                <c:pt idx="23">
                  <c:v>30.591458236082946</c:v>
                </c:pt>
                <c:pt idx="24">
                  <c:v>30.396884270750412</c:v>
                </c:pt>
                <c:pt idx="25">
                  <c:v>30.484239787727024</c:v>
                </c:pt>
                <c:pt idx="26">
                  <c:v>30.265323142671221</c:v>
                </c:pt>
                <c:pt idx="27">
                  <c:v>30.790432726132337</c:v>
                </c:pt>
                <c:pt idx="28">
                  <c:v>31.056451903320106</c:v>
                </c:pt>
                <c:pt idx="29">
                  <c:v>30.620596511295016</c:v>
                </c:pt>
                <c:pt idx="30">
                  <c:v>30.791209825818001</c:v>
                </c:pt>
                <c:pt idx="31">
                  <c:v>31.33656000418868</c:v>
                </c:pt>
                <c:pt idx="32">
                  <c:v>31.38900611780053</c:v>
                </c:pt>
                <c:pt idx="33">
                  <c:v>31.279183205943045</c:v>
                </c:pt>
                <c:pt idx="34">
                  <c:v>31.143923220263325</c:v>
                </c:pt>
                <c:pt idx="35">
                  <c:v>31.772393783655627</c:v>
                </c:pt>
                <c:pt idx="36">
                  <c:v>31.813780506044619</c:v>
                </c:pt>
                <c:pt idx="37">
                  <c:v>31.358170145289222</c:v>
                </c:pt>
                <c:pt idx="38">
                  <c:v>31.43129360924592</c:v>
                </c:pt>
                <c:pt idx="39">
                  <c:v>31.001359070484046</c:v>
                </c:pt>
                <c:pt idx="40">
                  <c:v>31.426379999999998</c:v>
                </c:pt>
                <c:pt idx="41">
                  <c:v>31.57002</c:v>
                </c:pt>
                <c:pt idx="42">
                  <c:v>32.008451789247687</c:v>
                </c:pt>
                <c:pt idx="43">
                  <c:v>32.218031809145131</c:v>
                </c:pt>
                <c:pt idx="44">
                  <c:v>32.74878338278932</c:v>
                </c:pt>
                <c:pt idx="45">
                  <c:v>32.508532019704433</c:v>
                </c:pt>
                <c:pt idx="46">
                  <c:v>32.513378906250004</c:v>
                </c:pt>
                <c:pt idx="47">
                  <c:v>32.912078048780494</c:v>
                </c:pt>
                <c:pt idx="48">
                  <c:v>33.4</c:v>
                </c:pt>
              </c:numCache>
            </c:numRef>
          </c:val>
          <c:smooth val="0"/>
        </c:ser>
        <c:ser>
          <c:idx val="1"/>
          <c:order val="2"/>
          <c:tx>
            <c:strRef>
              <c:f>'Wage, price statistics'!$BS$2</c:f>
              <c:strCache>
                <c:ptCount val="1"/>
                <c:pt idx="0">
                  <c:v>Total All Industries</c:v>
                </c:pt>
              </c:strCache>
            </c:strRef>
          </c:tx>
          <c:marker>
            <c:symbol val="none"/>
          </c:marker>
          <c:cat>
            <c:numRef>
              <c:f>'Wage, price statistics'!$BP$3:$BP$51</c:f>
              <c:numCache>
                <c:formatCode>mmm\-yy</c:formatCode>
                <c:ptCount val="49"/>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pt idx="23">
                  <c:v>41244</c:v>
                </c:pt>
                <c:pt idx="24">
                  <c:v>41334</c:v>
                </c:pt>
                <c:pt idx="25">
                  <c:v>41426</c:v>
                </c:pt>
                <c:pt idx="26">
                  <c:v>41518</c:v>
                </c:pt>
                <c:pt idx="27">
                  <c:v>41609</c:v>
                </c:pt>
                <c:pt idx="28">
                  <c:v>41699</c:v>
                </c:pt>
                <c:pt idx="29">
                  <c:v>41791</c:v>
                </c:pt>
                <c:pt idx="30">
                  <c:v>41883</c:v>
                </c:pt>
                <c:pt idx="31">
                  <c:v>41974</c:v>
                </c:pt>
                <c:pt idx="32">
                  <c:v>42064</c:v>
                </c:pt>
                <c:pt idx="33">
                  <c:v>42156</c:v>
                </c:pt>
                <c:pt idx="34">
                  <c:v>42248</c:v>
                </c:pt>
                <c:pt idx="35">
                  <c:v>42339</c:v>
                </c:pt>
                <c:pt idx="36">
                  <c:v>42430</c:v>
                </c:pt>
                <c:pt idx="37">
                  <c:v>42522</c:v>
                </c:pt>
                <c:pt idx="38">
                  <c:v>42614</c:v>
                </c:pt>
                <c:pt idx="39">
                  <c:v>42705</c:v>
                </c:pt>
                <c:pt idx="40">
                  <c:v>42795</c:v>
                </c:pt>
                <c:pt idx="41">
                  <c:v>42887</c:v>
                </c:pt>
                <c:pt idx="42">
                  <c:v>42979</c:v>
                </c:pt>
                <c:pt idx="43">
                  <c:v>43070</c:v>
                </c:pt>
                <c:pt idx="44">
                  <c:v>43160</c:v>
                </c:pt>
                <c:pt idx="45">
                  <c:v>43252</c:v>
                </c:pt>
                <c:pt idx="46">
                  <c:v>43344</c:v>
                </c:pt>
                <c:pt idx="47">
                  <c:v>43435</c:v>
                </c:pt>
                <c:pt idx="48">
                  <c:v>43525</c:v>
                </c:pt>
              </c:numCache>
            </c:numRef>
          </c:cat>
          <c:val>
            <c:numRef>
              <c:f>'Wage, price statistics'!$BS$3:$BS$51</c:f>
              <c:numCache>
                <c:formatCode>0.00</c:formatCode>
                <c:ptCount val="49"/>
                <c:pt idx="0">
                  <c:v>28.271074455669478</c:v>
                </c:pt>
                <c:pt idx="1">
                  <c:v>28.228217289302247</c:v>
                </c:pt>
                <c:pt idx="2">
                  <c:v>28.458677512101097</c:v>
                </c:pt>
                <c:pt idx="3">
                  <c:v>28.384087157954909</c:v>
                </c:pt>
                <c:pt idx="4">
                  <c:v>28.615474148072533</c:v>
                </c:pt>
                <c:pt idx="5">
                  <c:v>28.57192422076206</c:v>
                </c:pt>
                <c:pt idx="6">
                  <c:v>28.591276208832074</c:v>
                </c:pt>
                <c:pt idx="7">
                  <c:v>28.9945111728365</c:v>
                </c:pt>
                <c:pt idx="8">
                  <c:v>29.288033733525701</c:v>
                </c:pt>
                <c:pt idx="9">
                  <c:v>29.334925020817135</c:v>
                </c:pt>
                <c:pt idx="10">
                  <c:v>29.212590583345914</c:v>
                </c:pt>
                <c:pt idx="11">
                  <c:v>29.220010645471291</c:v>
                </c:pt>
                <c:pt idx="12">
                  <c:v>29.010266897271791</c:v>
                </c:pt>
                <c:pt idx="13">
                  <c:v>29.174940163307411</c:v>
                </c:pt>
                <c:pt idx="14">
                  <c:v>29.154191725837233</c:v>
                </c:pt>
                <c:pt idx="15">
                  <c:v>28.6092113990711</c:v>
                </c:pt>
                <c:pt idx="16">
                  <c:v>28.494294037132359</c:v>
                </c:pt>
                <c:pt idx="17">
                  <c:v>28.560417035736023</c:v>
                </c:pt>
                <c:pt idx="18">
                  <c:v>28.773101622456323</c:v>
                </c:pt>
                <c:pt idx="19">
                  <c:v>28.883353069515927</c:v>
                </c:pt>
                <c:pt idx="20">
                  <c:v>29.13431008837545</c:v>
                </c:pt>
                <c:pt idx="21">
                  <c:v>29.077613021665098</c:v>
                </c:pt>
                <c:pt idx="22">
                  <c:v>29.336117481966195</c:v>
                </c:pt>
                <c:pt idx="23">
                  <c:v>29.37554730373072</c:v>
                </c:pt>
                <c:pt idx="24">
                  <c:v>29.486156331725457</c:v>
                </c:pt>
                <c:pt idx="25">
                  <c:v>29.468098461469456</c:v>
                </c:pt>
                <c:pt idx="26">
                  <c:v>29.661288332050681</c:v>
                </c:pt>
                <c:pt idx="27">
                  <c:v>29.678673635264428</c:v>
                </c:pt>
                <c:pt idx="28">
                  <c:v>29.758475829888788</c:v>
                </c:pt>
                <c:pt idx="29">
                  <c:v>29.736399155864017</c:v>
                </c:pt>
                <c:pt idx="30">
                  <c:v>30.067327891241696</c:v>
                </c:pt>
                <c:pt idx="31">
                  <c:v>30.254177146901146</c:v>
                </c:pt>
                <c:pt idx="32">
                  <c:v>30.294285582505008</c:v>
                </c:pt>
                <c:pt idx="33">
                  <c:v>30.440599205783716</c:v>
                </c:pt>
                <c:pt idx="34">
                  <c:v>30.621549466149549</c:v>
                </c:pt>
                <c:pt idx="35">
                  <c:v>30.879910812204624</c:v>
                </c:pt>
                <c:pt idx="36">
                  <c:v>30.901820405871344</c:v>
                </c:pt>
                <c:pt idx="37">
                  <c:v>30.971934361209428</c:v>
                </c:pt>
                <c:pt idx="38">
                  <c:v>31.046335693475612</c:v>
                </c:pt>
                <c:pt idx="39">
                  <c:v>30.877022068864456</c:v>
                </c:pt>
                <c:pt idx="40">
                  <c:v>30.738959999999999</c:v>
                </c:pt>
                <c:pt idx="41">
                  <c:v>30.933899999999998</c:v>
                </c:pt>
                <c:pt idx="42">
                  <c:v>31.150809061880288</c:v>
                </c:pt>
                <c:pt idx="43">
                  <c:v>31.351133200795228</c:v>
                </c:pt>
                <c:pt idx="44">
                  <c:v>31.490385756676559</c:v>
                </c:pt>
                <c:pt idx="45">
                  <c:v>31.416827586206896</c:v>
                </c:pt>
                <c:pt idx="46">
                  <c:v>31.451308593749999</c:v>
                </c:pt>
                <c:pt idx="47">
                  <c:v>31.730926829268295</c:v>
                </c:pt>
                <c:pt idx="48">
                  <c:v>32.04</c:v>
                </c:pt>
              </c:numCache>
            </c:numRef>
          </c:val>
          <c:smooth val="0"/>
        </c:ser>
        <c:dLbls>
          <c:showLegendKey val="0"/>
          <c:showVal val="0"/>
          <c:showCatName val="0"/>
          <c:showSerName val="0"/>
          <c:showPercent val="0"/>
          <c:showBubbleSize val="0"/>
        </c:dLbls>
        <c:smooth val="0"/>
        <c:axId val="489052136"/>
        <c:axId val="489052528"/>
      </c:lineChart>
      <c:dateAx>
        <c:axId val="489052136"/>
        <c:scaling>
          <c:orientation val="minMax"/>
        </c:scaling>
        <c:delete val="0"/>
        <c:axPos val="b"/>
        <c:numFmt formatCode="mmm\-yy" sourceLinked="0"/>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489052528"/>
        <c:crosses val="autoZero"/>
        <c:auto val="1"/>
        <c:lblOffset val="100"/>
        <c:baseTimeUnit val="months"/>
        <c:majorUnit val="6"/>
        <c:majorTimeUnit val="months"/>
      </c:dateAx>
      <c:valAx>
        <c:axId val="489052528"/>
        <c:scaling>
          <c:orientation val="minMax"/>
          <c:min val="25"/>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89052136"/>
        <c:crosses val="autoZero"/>
        <c:crossBetween val="between"/>
      </c:valAx>
    </c:plotArea>
    <c:legend>
      <c:legendPos val="r"/>
      <c:layout>
        <c:manualLayout>
          <c:xMode val="edge"/>
          <c:yMode val="edge"/>
          <c:x val="0.67497331637491065"/>
          <c:y val="0.36253934976394203"/>
          <c:w val="0.27904851597619351"/>
          <c:h val="0.13788271048162321"/>
        </c:manualLayout>
      </c:layout>
      <c:overlay val="0"/>
      <c:spPr>
        <a:solidFill>
          <a:schemeClr val="bg1"/>
        </a:solidFill>
      </c:spPr>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FFCC00"/>
                </a:solidFill>
                <a:latin typeface="Calibri"/>
                <a:ea typeface="Calibri"/>
                <a:cs typeface="Calibri"/>
              </a:defRPr>
            </a:pPr>
            <a:r>
              <a:rPr lang="en-NZ" sz="1600" b="1" i="0" u="none" strike="noStrike" baseline="0">
                <a:solidFill>
                  <a:srgbClr val="FFCC00"/>
                </a:solidFill>
                <a:latin typeface="Calibri"/>
                <a:cs typeface="Calibri"/>
              </a:rPr>
              <a:t>Real Labour Cost Index for Health care and social assistance - New Zealand and Australia</a:t>
            </a:r>
          </a:p>
          <a:p>
            <a:pPr>
              <a:defRPr sz="1200" b="0" i="0" u="none" strike="noStrike" baseline="0">
                <a:solidFill>
                  <a:srgbClr val="FFCC00"/>
                </a:solidFill>
                <a:latin typeface="Calibri"/>
                <a:ea typeface="Calibri"/>
                <a:cs typeface="Calibri"/>
              </a:defRPr>
            </a:pPr>
            <a:r>
              <a:rPr lang="en-NZ" sz="1100" b="1" i="0" u="none" strike="noStrike" baseline="0">
                <a:solidFill>
                  <a:srgbClr val="FFCC00"/>
                </a:solidFill>
                <a:latin typeface="Calibri"/>
                <a:cs typeface="Calibri"/>
              </a:rPr>
              <a:t>Source: LCI – Statistics New Zealand; WPI – Australian Bureau of Statistics</a:t>
            </a:r>
          </a:p>
        </c:rich>
      </c:tx>
      <c:overlay val="0"/>
    </c:title>
    <c:autoTitleDeleted val="0"/>
    <c:plotArea>
      <c:layout>
        <c:manualLayout>
          <c:layoutTarget val="inner"/>
          <c:xMode val="edge"/>
          <c:yMode val="edge"/>
          <c:x val="7.168349717773799E-2"/>
          <c:y val="0.17386888177439358"/>
          <c:w val="0.86900609368661497"/>
          <c:h val="0.69997350895050592"/>
        </c:manualLayout>
      </c:layout>
      <c:lineChart>
        <c:grouping val="standard"/>
        <c:varyColors val="0"/>
        <c:ser>
          <c:idx val="3"/>
          <c:order val="0"/>
          <c:tx>
            <c:strRef>
              <c:f>'Wage, price statistics'!$EG$2:$EG$3</c:f>
              <c:strCache>
                <c:ptCount val="2"/>
                <c:pt idx="0">
                  <c:v>Wage Price Index, Australia </c:v>
                </c:pt>
                <c:pt idx="1">
                  <c:v>Public Sector only</c:v>
                </c:pt>
              </c:strCache>
            </c:strRef>
          </c:tx>
          <c:marker>
            <c:symbol val="none"/>
          </c:marker>
          <c:cat>
            <c:numRef>
              <c:f>'Wage, price statistics'!$EC$4:$EC$42</c:f>
              <c:numCache>
                <c:formatCode>mmm\-yy</c:formatCode>
                <c:ptCount val="39"/>
                <c:pt idx="0">
                  <c:v>39965</c:v>
                </c:pt>
                <c:pt idx="1">
                  <c:v>40057</c:v>
                </c:pt>
                <c:pt idx="2">
                  <c:v>40148</c:v>
                </c:pt>
                <c:pt idx="3">
                  <c:v>40238</c:v>
                </c:pt>
                <c:pt idx="4">
                  <c:v>40330</c:v>
                </c:pt>
                <c:pt idx="5">
                  <c:v>40422</c:v>
                </c:pt>
                <c:pt idx="6">
                  <c:v>40513</c:v>
                </c:pt>
                <c:pt idx="7">
                  <c:v>40603</c:v>
                </c:pt>
                <c:pt idx="8">
                  <c:v>40695</c:v>
                </c:pt>
                <c:pt idx="9">
                  <c:v>40787</c:v>
                </c:pt>
                <c:pt idx="10">
                  <c:v>40878</c:v>
                </c:pt>
                <c:pt idx="11">
                  <c:v>40969</c:v>
                </c:pt>
                <c:pt idx="12">
                  <c:v>41061</c:v>
                </c:pt>
                <c:pt idx="13">
                  <c:v>41153</c:v>
                </c:pt>
                <c:pt idx="14">
                  <c:v>41244</c:v>
                </c:pt>
                <c:pt idx="15">
                  <c:v>41334</c:v>
                </c:pt>
                <c:pt idx="16">
                  <c:v>41426</c:v>
                </c:pt>
                <c:pt idx="17">
                  <c:v>41518</c:v>
                </c:pt>
                <c:pt idx="18">
                  <c:v>41609</c:v>
                </c:pt>
                <c:pt idx="19">
                  <c:v>41699</c:v>
                </c:pt>
                <c:pt idx="20">
                  <c:v>41791</c:v>
                </c:pt>
                <c:pt idx="21">
                  <c:v>41883</c:v>
                </c:pt>
                <c:pt idx="22">
                  <c:v>41974</c:v>
                </c:pt>
                <c:pt idx="23">
                  <c:v>42064</c:v>
                </c:pt>
                <c:pt idx="24">
                  <c:v>42156</c:v>
                </c:pt>
                <c:pt idx="25">
                  <c:v>42248</c:v>
                </c:pt>
                <c:pt idx="26">
                  <c:v>42339</c:v>
                </c:pt>
                <c:pt idx="27">
                  <c:v>42430</c:v>
                </c:pt>
                <c:pt idx="28">
                  <c:v>42522</c:v>
                </c:pt>
                <c:pt idx="29">
                  <c:v>42614</c:v>
                </c:pt>
                <c:pt idx="30">
                  <c:v>42705</c:v>
                </c:pt>
                <c:pt idx="31">
                  <c:v>42795</c:v>
                </c:pt>
                <c:pt idx="32">
                  <c:v>42887</c:v>
                </c:pt>
                <c:pt idx="33">
                  <c:v>42979</c:v>
                </c:pt>
                <c:pt idx="34">
                  <c:v>43070</c:v>
                </c:pt>
                <c:pt idx="35">
                  <c:v>43160</c:v>
                </c:pt>
                <c:pt idx="36">
                  <c:v>43252</c:v>
                </c:pt>
                <c:pt idx="37">
                  <c:v>43344</c:v>
                </c:pt>
                <c:pt idx="38">
                  <c:v>43435</c:v>
                </c:pt>
              </c:numCache>
            </c:numRef>
          </c:cat>
          <c:val>
            <c:numRef>
              <c:f>'Wage, price statistics'!$EG$4:$EG$42</c:f>
              <c:numCache>
                <c:formatCode>General</c:formatCode>
                <c:ptCount val="39"/>
                <c:pt idx="0">
                  <c:v>1000</c:v>
                </c:pt>
                <c:pt idx="1">
                  <c:v>1013.869799219949</c:v>
                </c:pt>
                <c:pt idx="2">
                  <c:v>1019.1916537818541</c:v>
                </c:pt>
                <c:pt idx="3">
                  <c:v>1013.4097074170244</c:v>
                </c:pt>
                <c:pt idx="4">
                  <c:v>1011.8490933109658</c:v>
                </c:pt>
                <c:pt idx="5">
                  <c:v>1016.8636737950685</c:v>
                </c:pt>
                <c:pt idx="6">
                  <c:v>1022.130263234301</c:v>
                </c:pt>
                <c:pt idx="7">
                  <c:v>1012.2376551423561</c:v>
                </c:pt>
                <c:pt idx="8">
                  <c:v>1013.2232589243067</c:v>
                </c:pt>
                <c:pt idx="9">
                  <c:v>1013.5641470502703</c:v>
                </c:pt>
                <c:pt idx="10">
                  <c:v>1021.8343894106082</c:v>
                </c:pt>
                <c:pt idx="11">
                  <c:v>1025.4015120747599</c:v>
                </c:pt>
                <c:pt idx="12">
                  <c:v>1022.121779417375</c:v>
                </c:pt>
                <c:pt idx="13">
                  <c:v>1021.5780317561293</c:v>
                </c:pt>
                <c:pt idx="14">
                  <c:v>1033.0613785494456</c:v>
                </c:pt>
                <c:pt idx="15">
                  <c:v>1032.6083184230008</c:v>
                </c:pt>
                <c:pt idx="16">
                  <c:v>1033.0508832646417</c:v>
                </c:pt>
                <c:pt idx="17">
                  <c:v>1026.4218999164707</c:v>
                </c:pt>
                <c:pt idx="18">
                  <c:v>1029.9625856235355</c:v>
                </c:pt>
                <c:pt idx="19">
                  <c:v>1030.1900717615968</c:v>
                </c:pt>
                <c:pt idx="20">
                  <c:v>1031.3879901227388</c:v>
                </c:pt>
                <c:pt idx="21">
                  <c:v>1036.0223114548464</c:v>
                </c:pt>
                <c:pt idx="22">
                  <c:v>1042.6815377577425</c:v>
                </c:pt>
                <c:pt idx="23">
                  <c:v>1043.3050123673147</c:v>
                </c:pt>
                <c:pt idx="24">
                  <c:v>1043.3361647420741</c:v>
                </c:pt>
                <c:pt idx="25">
                  <c:v>1049.5448064056161</c:v>
                </c:pt>
                <c:pt idx="26">
                  <c:v>1050.7480247556673</c:v>
                </c:pt>
                <c:pt idx="27">
                  <c:v>1057.7757178856018</c:v>
                </c:pt>
                <c:pt idx="28">
                  <c:v>1056.4130393285084</c:v>
                </c:pt>
                <c:pt idx="29">
                  <c:v>1057.9089749165782</c:v>
                </c:pt>
                <c:pt idx="30">
                  <c:v>1060.4756349277575</c:v>
                </c:pt>
                <c:pt idx="31">
                  <c:v>1059.8267767886257</c:v>
                </c:pt>
                <c:pt idx="32">
                  <c:v>1064.5394871191224</c:v>
                </c:pt>
                <c:pt idx="33">
                  <c:v>1067.7290377693218</c:v>
                </c:pt>
                <c:pt idx="34">
                  <c:v>1070.8787546023023</c:v>
                </c:pt>
                <c:pt idx="35">
                  <c:v>1069.3813462290404</c:v>
                </c:pt>
                <c:pt idx="36">
                  <c:v>1070.4653661690065</c:v>
                </c:pt>
                <c:pt idx="37">
                  <c:v>1075.4456384186196</c:v>
                </c:pt>
                <c:pt idx="38">
                  <c:v>1079.4353509546797</c:v>
                </c:pt>
              </c:numCache>
            </c:numRef>
          </c:val>
          <c:smooth val="0"/>
        </c:ser>
        <c:ser>
          <c:idx val="1"/>
          <c:order val="1"/>
          <c:tx>
            <c:strRef>
              <c:f>'Wage, price statistics'!$EF$2:$EF$3</c:f>
              <c:strCache>
                <c:ptCount val="2"/>
                <c:pt idx="0">
                  <c:v>Wage Price Index, Australia </c:v>
                </c:pt>
                <c:pt idx="1">
                  <c:v>Public and Private Sectors</c:v>
                </c:pt>
              </c:strCache>
            </c:strRef>
          </c:tx>
          <c:spPr>
            <a:ln>
              <a:solidFill>
                <a:srgbClr val="FFFF00"/>
              </a:solidFill>
            </a:ln>
          </c:spPr>
          <c:marker>
            <c:symbol val="none"/>
          </c:marker>
          <c:cat>
            <c:numRef>
              <c:f>'Wage, price statistics'!$EC$4:$EC$42</c:f>
              <c:numCache>
                <c:formatCode>mmm\-yy</c:formatCode>
                <c:ptCount val="39"/>
                <c:pt idx="0">
                  <c:v>39965</c:v>
                </c:pt>
                <c:pt idx="1">
                  <c:v>40057</c:v>
                </c:pt>
                <c:pt idx="2">
                  <c:v>40148</c:v>
                </c:pt>
                <c:pt idx="3">
                  <c:v>40238</c:v>
                </c:pt>
                <c:pt idx="4">
                  <c:v>40330</c:v>
                </c:pt>
                <c:pt idx="5">
                  <c:v>40422</c:v>
                </c:pt>
                <c:pt idx="6">
                  <c:v>40513</c:v>
                </c:pt>
                <c:pt idx="7">
                  <c:v>40603</c:v>
                </c:pt>
                <c:pt idx="8">
                  <c:v>40695</c:v>
                </c:pt>
                <c:pt idx="9">
                  <c:v>40787</c:v>
                </c:pt>
                <c:pt idx="10">
                  <c:v>40878</c:v>
                </c:pt>
                <c:pt idx="11">
                  <c:v>40969</c:v>
                </c:pt>
                <c:pt idx="12">
                  <c:v>41061</c:v>
                </c:pt>
                <c:pt idx="13">
                  <c:v>41153</c:v>
                </c:pt>
                <c:pt idx="14">
                  <c:v>41244</c:v>
                </c:pt>
                <c:pt idx="15">
                  <c:v>41334</c:v>
                </c:pt>
                <c:pt idx="16">
                  <c:v>41426</c:v>
                </c:pt>
                <c:pt idx="17">
                  <c:v>41518</c:v>
                </c:pt>
                <c:pt idx="18">
                  <c:v>41609</c:v>
                </c:pt>
                <c:pt idx="19">
                  <c:v>41699</c:v>
                </c:pt>
                <c:pt idx="20">
                  <c:v>41791</c:v>
                </c:pt>
                <c:pt idx="21">
                  <c:v>41883</c:v>
                </c:pt>
                <c:pt idx="22">
                  <c:v>41974</c:v>
                </c:pt>
                <c:pt idx="23">
                  <c:v>42064</c:v>
                </c:pt>
                <c:pt idx="24">
                  <c:v>42156</c:v>
                </c:pt>
                <c:pt idx="25">
                  <c:v>42248</c:v>
                </c:pt>
                <c:pt idx="26">
                  <c:v>42339</c:v>
                </c:pt>
                <c:pt idx="27">
                  <c:v>42430</c:v>
                </c:pt>
                <c:pt idx="28">
                  <c:v>42522</c:v>
                </c:pt>
                <c:pt idx="29">
                  <c:v>42614</c:v>
                </c:pt>
                <c:pt idx="30">
                  <c:v>42705</c:v>
                </c:pt>
                <c:pt idx="31">
                  <c:v>42795</c:v>
                </c:pt>
                <c:pt idx="32">
                  <c:v>42887</c:v>
                </c:pt>
                <c:pt idx="33">
                  <c:v>42979</c:v>
                </c:pt>
                <c:pt idx="34">
                  <c:v>43070</c:v>
                </c:pt>
                <c:pt idx="35">
                  <c:v>43160</c:v>
                </c:pt>
                <c:pt idx="36">
                  <c:v>43252</c:v>
                </c:pt>
                <c:pt idx="37">
                  <c:v>43344</c:v>
                </c:pt>
                <c:pt idx="38">
                  <c:v>43435</c:v>
                </c:pt>
              </c:numCache>
            </c:numRef>
          </c:cat>
          <c:val>
            <c:numRef>
              <c:f>'Wage, price statistics'!$EF$4:$EF$42</c:f>
              <c:numCache>
                <c:formatCode>General</c:formatCode>
                <c:ptCount val="39"/>
                <c:pt idx="0">
                  <c:v>1000</c:v>
                </c:pt>
                <c:pt idx="1">
                  <c:v>1006.0791844086058</c:v>
                </c:pt>
                <c:pt idx="2">
                  <c:v>1010.4890740560097</c:v>
                </c:pt>
                <c:pt idx="3">
                  <c:v>1008.6579142042575</c:v>
                </c:pt>
                <c:pt idx="4">
                  <c:v>1008.0957071379752</c:v>
                </c:pt>
                <c:pt idx="5">
                  <c:v>1014.1141741363142</c:v>
                </c:pt>
                <c:pt idx="6">
                  <c:v>1018.4625466616445</c:v>
                </c:pt>
                <c:pt idx="7">
                  <c:v>1009.566185992737</c:v>
                </c:pt>
                <c:pt idx="8">
                  <c:v>1008.743538814971</c:v>
                </c:pt>
                <c:pt idx="9">
                  <c:v>1011.8862849338641</c:v>
                </c:pt>
                <c:pt idx="10">
                  <c:v>1018.3314205066911</c:v>
                </c:pt>
                <c:pt idx="11">
                  <c:v>1023.7507537210802</c:v>
                </c:pt>
                <c:pt idx="12">
                  <c:v>1022.3133184374274</c:v>
                </c:pt>
                <c:pt idx="13">
                  <c:v>1023.5989576349742</c:v>
                </c:pt>
                <c:pt idx="14">
                  <c:v>1030.6006477764204</c:v>
                </c:pt>
                <c:pt idx="15">
                  <c:v>1031.9589978981207</c:v>
                </c:pt>
                <c:pt idx="16">
                  <c:v>1031.5190492135155</c:v>
                </c:pt>
                <c:pt idx="17">
                  <c:v>1031.1030586624058</c:v>
                </c:pt>
                <c:pt idx="18">
                  <c:v>1031.1232926359662</c:v>
                </c:pt>
                <c:pt idx="19">
                  <c:v>1031.356220098837</c:v>
                </c:pt>
                <c:pt idx="20">
                  <c:v>1030.8252284362102</c:v>
                </c:pt>
                <c:pt idx="21">
                  <c:v>1037.2081911008977</c:v>
                </c:pt>
                <c:pt idx="22">
                  <c:v>1042.1582108996167</c:v>
                </c:pt>
                <c:pt idx="23">
                  <c:v>1044.5085334726252</c:v>
                </c:pt>
                <c:pt idx="24">
                  <c:v>1041.980999700964</c:v>
                </c:pt>
                <c:pt idx="25">
                  <c:v>1049.0685789647216</c:v>
                </c:pt>
                <c:pt idx="26">
                  <c:v>1049.435909789365</c:v>
                </c:pt>
                <c:pt idx="27">
                  <c:v>1056.471237825692</c:v>
                </c:pt>
                <c:pt idx="28">
                  <c:v>1055.9645009863873</c:v>
                </c:pt>
                <c:pt idx="29">
                  <c:v>1059.1618340846665</c:v>
                </c:pt>
                <c:pt idx="30">
                  <c:v>1059.2320834457332</c:v>
                </c:pt>
                <c:pt idx="31">
                  <c:v>1059.4286379240125</c:v>
                </c:pt>
                <c:pt idx="32">
                  <c:v>1061.664955587901</c:v>
                </c:pt>
                <c:pt idx="33">
                  <c:v>1069.0164030494009</c:v>
                </c:pt>
                <c:pt idx="34">
                  <c:v>1068.0789636919844</c:v>
                </c:pt>
                <c:pt idx="35">
                  <c:v>1068.2325678636246</c:v>
                </c:pt>
                <c:pt idx="36">
                  <c:v>1068.5171082692157</c:v>
                </c:pt>
                <c:pt idx="37">
                  <c:v>1078.3827239571758</c:v>
                </c:pt>
                <c:pt idx="38">
                  <c:v>1079.1547144426213</c:v>
                </c:pt>
              </c:numCache>
            </c:numRef>
          </c:val>
          <c:smooth val="0"/>
        </c:ser>
        <c:ser>
          <c:idx val="0"/>
          <c:order val="2"/>
          <c:tx>
            <c:strRef>
              <c:f>'Wage, price statistics'!$ED$2:$ED$3</c:f>
              <c:strCache>
                <c:ptCount val="2"/>
                <c:pt idx="0">
                  <c:v>Labour Cost Index, New Zealand</c:v>
                </c:pt>
                <c:pt idx="1">
                  <c:v>Public and Private Sectors</c:v>
                </c:pt>
              </c:strCache>
            </c:strRef>
          </c:tx>
          <c:spPr>
            <a:ln>
              <a:solidFill>
                <a:srgbClr val="FF0000"/>
              </a:solidFill>
            </a:ln>
          </c:spPr>
          <c:marker>
            <c:symbol val="none"/>
          </c:marker>
          <c:cat>
            <c:numRef>
              <c:f>'Wage, price statistics'!$EC$4:$EC$42</c:f>
              <c:numCache>
                <c:formatCode>mmm\-yy</c:formatCode>
                <c:ptCount val="39"/>
                <c:pt idx="0">
                  <c:v>39965</c:v>
                </c:pt>
                <c:pt idx="1">
                  <c:v>40057</c:v>
                </c:pt>
                <c:pt idx="2">
                  <c:v>40148</c:v>
                </c:pt>
                <c:pt idx="3">
                  <c:v>40238</c:v>
                </c:pt>
                <c:pt idx="4">
                  <c:v>40330</c:v>
                </c:pt>
                <c:pt idx="5">
                  <c:v>40422</c:v>
                </c:pt>
                <c:pt idx="6">
                  <c:v>40513</c:v>
                </c:pt>
                <c:pt idx="7">
                  <c:v>40603</c:v>
                </c:pt>
                <c:pt idx="8">
                  <c:v>40695</c:v>
                </c:pt>
                <c:pt idx="9">
                  <c:v>40787</c:v>
                </c:pt>
                <c:pt idx="10">
                  <c:v>40878</c:v>
                </c:pt>
                <c:pt idx="11">
                  <c:v>40969</c:v>
                </c:pt>
                <c:pt idx="12">
                  <c:v>41061</c:v>
                </c:pt>
                <c:pt idx="13">
                  <c:v>41153</c:v>
                </c:pt>
                <c:pt idx="14">
                  <c:v>41244</c:v>
                </c:pt>
                <c:pt idx="15">
                  <c:v>41334</c:v>
                </c:pt>
                <c:pt idx="16">
                  <c:v>41426</c:v>
                </c:pt>
                <c:pt idx="17">
                  <c:v>41518</c:v>
                </c:pt>
                <c:pt idx="18">
                  <c:v>41609</c:v>
                </c:pt>
                <c:pt idx="19">
                  <c:v>41699</c:v>
                </c:pt>
                <c:pt idx="20">
                  <c:v>41791</c:v>
                </c:pt>
                <c:pt idx="21">
                  <c:v>41883</c:v>
                </c:pt>
                <c:pt idx="22">
                  <c:v>41974</c:v>
                </c:pt>
                <c:pt idx="23">
                  <c:v>42064</c:v>
                </c:pt>
                <c:pt idx="24">
                  <c:v>42156</c:v>
                </c:pt>
                <c:pt idx="25">
                  <c:v>42248</c:v>
                </c:pt>
                <c:pt idx="26">
                  <c:v>42339</c:v>
                </c:pt>
                <c:pt idx="27">
                  <c:v>42430</c:v>
                </c:pt>
                <c:pt idx="28">
                  <c:v>42522</c:v>
                </c:pt>
                <c:pt idx="29">
                  <c:v>42614</c:v>
                </c:pt>
                <c:pt idx="30">
                  <c:v>42705</c:v>
                </c:pt>
                <c:pt idx="31">
                  <c:v>42795</c:v>
                </c:pt>
                <c:pt idx="32">
                  <c:v>42887</c:v>
                </c:pt>
                <c:pt idx="33">
                  <c:v>42979</c:v>
                </c:pt>
                <c:pt idx="34">
                  <c:v>43070</c:v>
                </c:pt>
                <c:pt idx="35">
                  <c:v>43160</c:v>
                </c:pt>
                <c:pt idx="36">
                  <c:v>43252</c:v>
                </c:pt>
                <c:pt idx="37">
                  <c:v>43344</c:v>
                </c:pt>
                <c:pt idx="38">
                  <c:v>43435</c:v>
                </c:pt>
              </c:numCache>
            </c:numRef>
          </c:cat>
          <c:val>
            <c:numRef>
              <c:f>'Wage, price statistics'!$ED$4:$ED$42</c:f>
              <c:numCache>
                <c:formatCode>General</c:formatCode>
                <c:ptCount val="39"/>
                <c:pt idx="0">
                  <c:v>1000</c:v>
                </c:pt>
                <c:pt idx="1">
                  <c:v>993.13790020684678</c:v>
                </c:pt>
                <c:pt idx="2">
                  <c:v>999.90027472708266</c:v>
                </c:pt>
                <c:pt idx="3">
                  <c:v>1000.1959890248836</c:v>
                </c:pt>
                <c:pt idx="4">
                  <c:v>1001.3266609787479</c:v>
                </c:pt>
                <c:pt idx="5">
                  <c:v>993.43024364291375</c:v>
                </c:pt>
                <c:pt idx="6">
                  <c:v>974.51627129462383</c:v>
                </c:pt>
                <c:pt idx="7">
                  <c:v>974.4092501432566</c:v>
                </c:pt>
                <c:pt idx="8">
                  <c:v>966.07951608811504</c:v>
                </c:pt>
                <c:pt idx="9">
                  <c:v>966.57401086098412</c:v>
                </c:pt>
                <c:pt idx="10">
                  <c:v>973.6468056417001</c:v>
                </c:pt>
                <c:pt idx="11">
                  <c:v>972.34278339715161</c:v>
                </c:pt>
                <c:pt idx="12">
                  <c:v>975.49143900784361</c:v>
                </c:pt>
                <c:pt idx="13">
                  <c:v>975.76174280860596</c:v>
                </c:pt>
                <c:pt idx="14">
                  <c:v>980.20530400929545</c:v>
                </c:pt>
                <c:pt idx="15">
                  <c:v>979.71379974447484</c:v>
                </c:pt>
                <c:pt idx="16">
                  <c:v>984.48214298056951</c:v>
                </c:pt>
                <c:pt idx="17">
                  <c:v>978.09098634543489</c:v>
                </c:pt>
                <c:pt idx="18">
                  <c:v>980.907407757633</c:v>
                </c:pt>
                <c:pt idx="19">
                  <c:v>978.52265109515838</c:v>
                </c:pt>
                <c:pt idx="20">
                  <c:v>979.6845189734986</c:v>
                </c:pt>
                <c:pt idx="21">
                  <c:v>979.12093399784317</c:v>
                </c:pt>
                <c:pt idx="22">
                  <c:v>982.56307487109279</c:v>
                </c:pt>
                <c:pt idx="23">
                  <c:v>986.01673654765784</c:v>
                </c:pt>
                <c:pt idx="24">
                  <c:v>984.61083390842441</c:v>
                </c:pt>
                <c:pt idx="25">
                  <c:v>984.03322290559208</c:v>
                </c:pt>
                <c:pt idx="26">
                  <c:v>994.37562624768202</c:v>
                </c:pt>
                <c:pt idx="27">
                  <c:v>997.22250058245731</c:v>
                </c:pt>
                <c:pt idx="28">
                  <c:v>994.8788381733375</c:v>
                </c:pt>
                <c:pt idx="29">
                  <c:v>997.8461545959351</c:v>
                </c:pt>
                <c:pt idx="30">
                  <c:v>997.2981879784636</c:v>
                </c:pt>
                <c:pt idx="31">
                  <c:v>990.18189272300003</c:v>
                </c:pt>
                <c:pt idx="32">
                  <c:v>992.82708032599999</c:v>
                </c:pt>
                <c:pt idx="33">
                  <c:v>1010.8051953151149</c:v>
                </c:pt>
                <c:pt idx="34">
                  <c:v>1016.7056393240556</c:v>
                </c:pt>
                <c:pt idx="35">
                  <c:v>1014.2938286478734</c:v>
                </c:pt>
                <c:pt idx="36">
                  <c:v>1012.0340090295566</c:v>
                </c:pt>
                <c:pt idx="37">
                  <c:v>1016.9161976376953</c:v>
                </c:pt>
                <c:pt idx="38">
                  <c:v>1025.3865439921951</c:v>
                </c:pt>
              </c:numCache>
            </c:numRef>
          </c:val>
          <c:smooth val="0"/>
        </c:ser>
        <c:ser>
          <c:idx val="2"/>
          <c:order val="3"/>
          <c:tx>
            <c:strRef>
              <c:f>'Wage, price statistics'!$EE$2:$EE$3</c:f>
              <c:strCache>
                <c:ptCount val="2"/>
                <c:pt idx="0">
                  <c:v>Labour Cost Index, New Zealand</c:v>
                </c:pt>
                <c:pt idx="1">
                  <c:v>Public Sector only</c:v>
                </c:pt>
              </c:strCache>
            </c:strRef>
          </c:tx>
          <c:spPr>
            <a:ln>
              <a:solidFill>
                <a:srgbClr val="FF0000"/>
              </a:solidFill>
              <a:prstDash val="sysDot"/>
            </a:ln>
          </c:spPr>
          <c:marker>
            <c:symbol val="none"/>
          </c:marker>
          <c:cat>
            <c:numRef>
              <c:f>'Wage, price statistics'!$EC$4:$EC$42</c:f>
              <c:numCache>
                <c:formatCode>mmm\-yy</c:formatCode>
                <c:ptCount val="39"/>
                <c:pt idx="0">
                  <c:v>39965</c:v>
                </c:pt>
                <c:pt idx="1">
                  <c:v>40057</c:v>
                </c:pt>
                <c:pt idx="2">
                  <c:v>40148</c:v>
                </c:pt>
                <c:pt idx="3">
                  <c:v>40238</c:v>
                </c:pt>
                <c:pt idx="4">
                  <c:v>40330</c:v>
                </c:pt>
                <c:pt idx="5">
                  <c:v>40422</c:v>
                </c:pt>
                <c:pt idx="6">
                  <c:v>40513</c:v>
                </c:pt>
                <c:pt idx="7">
                  <c:v>40603</c:v>
                </c:pt>
                <c:pt idx="8">
                  <c:v>40695</c:v>
                </c:pt>
                <c:pt idx="9">
                  <c:v>40787</c:v>
                </c:pt>
                <c:pt idx="10">
                  <c:v>40878</c:v>
                </c:pt>
                <c:pt idx="11">
                  <c:v>40969</c:v>
                </c:pt>
                <c:pt idx="12">
                  <c:v>41061</c:v>
                </c:pt>
                <c:pt idx="13">
                  <c:v>41153</c:v>
                </c:pt>
                <c:pt idx="14">
                  <c:v>41244</c:v>
                </c:pt>
                <c:pt idx="15">
                  <c:v>41334</c:v>
                </c:pt>
                <c:pt idx="16">
                  <c:v>41426</c:v>
                </c:pt>
                <c:pt idx="17">
                  <c:v>41518</c:v>
                </c:pt>
                <c:pt idx="18">
                  <c:v>41609</c:v>
                </c:pt>
                <c:pt idx="19">
                  <c:v>41699</c:v>
                </c:pt>
                <c:pt idx="20">
                  <c:v>41791</c:v>
                </c:pt>
                <c:pt idx="21">
                  <c:v>41883</c:v>
                </c:pt>
                <c:pt idx="22">
                  <c:v>41974</c:v>
                </c:pt>
                <c:pt idx="23">
                  <c:v>42064</c:v>
                </c:pt>
                <c:pt idx="24">
                  <c:v>42156</c:v>
                </c:pt>
                <c:pt idx="25">
                  <c:v>42248</c:v>
                </c:pt>
                <c:pt idx="26">
                  <c:v>42339</c:v>
                </c:pt>
                <c:pt idx="27">
                  <c:v>42430</c:v>
                </c:pt>
                <c:pt idx="28">
                  <c:v>42522</c:v>
                </c:pt>
                <c:pt idx="29">
                  <c:v>42614</c:v>
                </c:pt>
                <c:pt idx="30">
                  <c:v>42705</c:v>
                </c:pt>
                <c:pt idx="31">
                  <c:v>42795</c:v>
                </c:pt>
                <c:pt idx="32">
                  <c:v>42887</c:v>
                </c:pt>
                <c:pt idx="33">
                  <c:v>42979</c:v>
                </c:pt>
                <c:pt idx="34">
                  <c:v>43070</c:v>
                </c:pt>
                <c:pt idx="35">
                  <c:v>43160</c:v>
                </c:pt>
                <c:pt idx="36">
                  <c:v>43252</c:v>
                </c:pt>
                <c:pt idx="37">
                  <c:v>43344</c:v>
                </c:pt>
                <c:pt idx="38">
                  <c:v>43435</c:v>
                </c:pt>
              </c:numCache>
            </c:numRef>
          </c:cat>
          <c:val>
            <c:numRef>
              <c:f>'Wage, price statistics'!$EE$4:$EE$42</c:f>
              <c:numCache>
                <c:formatCode>General</c:formatCode>
                <c:ptCount val="39"/>
                <c:pt idx="0">
                  <c:v>1000</c:v>
                </c:pt>
                <c:pt idx="1">
                  <c:v>994.12511481937838</c:v>
                </c:pt>
                <c:pt idx="2">
                  <c:v>1002.8673378568367</c:v>
                </c:pt>
                <c:pt idx="3">
                  <c:v>1002.1668185599081</c:v>
                </c:pt>
                <c:pt idx="4">
                  <c:v>1001.326660978748</c:v>
                </c:pt>
                <c:pt idx="5">
                  <c:v>993.43024364291375</c:v>
                </c:pt>
                <c:pt idx="6">
                  <c:v>972.61477613112208</c:v>
                </c:pt>
                <c:pt idx="7">
                  <c:v>976.29581209900357</c:v>
                </c:pt>
                <c:pt idx="8">
                  <c:v>967.01382896634334</c:v>
                </c:pt>
                <c:pt idx="9">
                  <c:v>966.57401086098412</c:v>
                </c:pt>
                <c:pt idx="10">
                  <c:v>970.84628750466743</c:v>
                </c:pt>
                <c:pt idx="11">
                  <c:v>970.48539508120666</c:v>
                </c:pt>
                <c:pt idx="12">
                  <c:v>976.41695270709192</c:v>
                </c:pt>
                <c:pt idx="13">
                  <c:v>973.91545758096436</c:v>
                </c:pt>
                <c:pt idx="14">
                  <c:v>977.43113805455221</c:v>
                </c:pt>
                <c:pt idx="15">
                  <c:v>976.95144880534565</c:v>
                </c:pt>
                <c:pt idx="16">
                  <c:v>983.56292529337941</c:v>
                </c:pt>
                <c:pt idx="17">
                  <c:v>976.26958786062028</c:v>
                </c:pt>
                <c:pt idx="18">
                  <c:v>976.35774445634524</c:v>
                </c:pt>
                <c:pt idx="19">
                  <c:v>973.08137592688126</c:v>
                </c:pt>
                <c:pt idx="20">
                  <c:v>974.2569039099335</c:v>
                </c:pt>
                <c:pt idx="21">
                  <c:v>972.80984142142984</c:v>
                </c:pt>
                <c:pt idx="22">
                  <c:v>975.33834637939356</c:v>
                </c:pt>
                <c:pt idx="23">
                  <c:v>976.97071144171605</c:v>
                </c:pt>
                <c:pt idx="24">
                  <c:v>974.70166723596992</c:v>
                </c:pt>
                <c:pt idx="25">
                  <c:v>975.05481758711051</c:v>
                </c:pt>
                <c:pt idx="26">
                  <c:v>988.05926564538265</c:v>
                </c:pt>
                <c:pt idx="27">
                  <c:v>990.01583391158124</c:v>
                </c:pt>
                <c:pt idx="28">
                  <c:v>986.80497925218322</c:v>
                </c:pt>
                <c:pt idx="29">
                  <c:v>991.58726294524365</c:v>
                </c:pt>
                <c:pt idx="30">
                  <c:v>992.84596392498827</c:v>
                </c:pt>
                <c:pt idx="31">
                  <c:v>984.00978831599991</c:v>
                </c:pt>
                <c:pt idx="32">
                  <c:v>986.65497591899998</c:v>
                </c:pt>
                <c:pt idx="33">
                  <c:v>981.84983815765065</c:v>
                </c:pt>
                <c:pt idx="34">
                  <c:v>986.02917606858853</c:v>
                </c:pt>
                <c:pt idx="35">
                  <c:v>982.89694315232441</c:v>
                </c:pt>
                <c:pt idx="36">
                  <c:v>980.76085510246298</c:v>
                </c:pt>
                <c:pt idx="37">
                  <c:v>982.47365072363277</c:v>
                </c:pt>
                <c:pt idx="38">
                  <c:v>994.41849400585363</c:v>
                </c:pt>
              </c:numCache>
            </c:numRef>
          </c:val>
          <c:smooth val="0"/>
        </c:ser>
        <c:dLbls>
          <c:showLegendKey val="0"/>
          <c:showVal val="0"/>
          <c:showCatName val="0"/>
          <c:showSerName val="0"/>
          <c:showPercent val="0"/>
          <c:showBubbleSize val="0"/>
        </c:dLbls>
        <c:smooth val="0"/>
        <c:axId val="777566312"/>
        <c:axId val="777569448"/>
      </c:lineChart>
      <c:dateAx>
        <c:axId val="777566312"/>
        <c:scaling>
          <c:orientation val="minMax"/>
        </c:scaling>
        <c:delete val="0"/>
        <c:axPos val="b"/>
        <c:numFmt formatCode="mmm\-yy" sourceLinked="0"/>
        <c:majorTickMark val="out"/>
        <c:minorTickMark val="none"/>
        <c:tickLblPos val="nextTo"/>
        <c:txPr>
          <a:bodyPr rot="-2700000" vert="horz"/>
          <a:lstStyle/>
          <a:p>
            <a:pPr>
              <a:defRPr sz="1200" b="0" i="0" u="none" strike="noStrike" baseline="0">
                <a:solidFill>
                  <a:srgbClr val="FFCC00"/>
                </a:solidFill>
                <a:latin typeface="Calibri"/>
                <a:ea typeface="Calibri"/>
                <a:cs typeface="Calibri"/>
              </a:defRPr>
            </a:pPr>
            <a:endParaRPr lang="en-US"/>
          </a:p>
        </c:txPr>
        <c:crossAx val="777569448"/>
        <c:crosses val="autoZero"/>
        <c:auto val="1"/>
        <c:lblOffset val="100"/>
        <c:baseTimeUnit val="months"/>
        <c:majorUnit val="1"/>
        <c:majorTimeUnit val="years"/>
        <c:minorUnit val="3"/>
        <c:minorTimeUnit val="months"/>
      </c:dateAx>
      <c:valAx>
        <c:axId val="777569448"/>
        <c:scaling>
          <c:orientation val="minMax"/>
        </c:scaling>
        <c:delete val="0"/>
        <c:axPos val="l"/>
        <c:majorGridlines/>
        <c:numFmt formatCode="General" sourceLinked="1"/>
        <c:majorTickMark val="out"/>
        <c:minorTickMark val="none"/>
        <c:tickLblPos val="nextTo"/>
        <c:txPr>
          <a:bodyPr rot="0" vert="horz"/>
          <a:lstStyle/>
          <a:p>
            <a:pPr>
              <a:defRPr sz="1200" b="0" i="0" u="none" strike="noStrike" baseline="0">
                <a:solidFill>
                  <a:srgbClr val="FFCC00"/>
                </a:solidFill>
                <a:latin typeface="Calibri"/>
                <a:ea typeface="Calibri"/>
                <a:cs typeface="Calibri"/>
              </a:defRPr>
            </a:pPr>
            <a:endParaRPr lang="en-US"/>
          </a:p>
        </c:txPr>
        <c:crossAx val="777566312"/>
        <c:crosses val="autoZero"/>
        <c:crossBetween val="between"/>
      </c:valAx>
    </c:plotArea>
    <c:legend>
      <c:legendPos val="r"/>
      <c:layout>
        <c:manualLayout>
          <c:xMode val="edge"/>
          <c:yMode val="edge"/>
          <c:x val="0.17911950807848734"/>
          <c:y val="0.65285039370078746"/>
          <c:w val="0.74392481393083665"/>
          <c:h val="0.17718623633584263"/>
        </c:manualLayout>
      </c:layout>
      <c:overlay val="0"/>
      <c:spPr>
        <a:solidFill>
          <a:schemeClr val="bg1"/>
        </a:solidFill>
      </c:spPr>
      <c:txPr>
        <a:bodyPr/>
        <a:lstStyle/>
        <a:p>
          <a:pPr>
            <a:defRPr sz="920" b="0" i="0" u="none" strike="noStrike" baseline="0">
              <a:solidFill>
                <a:srgbClr val="FFCC00"/>
              </a:solidFill>
              <a:latin typeface="Calibri"/>
              <a:ea typeface="Calibri"/>
              <a:cs typeface="Calibri"/>
            </a:defRPr>
          </a:pPr>
          <a:endParaRPr lang="en-US"/>
        </a:p>
      </c:txPr>
    </c:legend>
    <c:plotVisOnly val="1"/>
    <c:dispBlanksAs val="gap"/>
    <c:showDLblsOverMax val="0"/>
  </c:chart>
  <c:txPr>
    <a:bodyPr/>
    <a:lstStyle/>
    <a:p>
      <a:pPr>
        <a:defRPr sz="1200" b="0" i="0" u="none" strike="noStrike" baseline="0">
          <a:solidFill>
            <a:srgbClr val="FFCC00"/>
          </a:solidFill>
          <a:latin typeface="Calibri"/>
          <a:ea typeface="Calibri"/>
          <a:cs typeface="Calibri"/>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NZ" sz="1800" b="1" i="0" u="none" strike="noStrike" baseline="0">
                <a:solidFill>
                  <a:srgbClr val="000000"/>
                </a:solidFill>
                <a:latin typeface="Calibri"/>
                <a:cs typeface="Calibri"/>
              </a:rPr>
              <a:t>Annual increase in average hourly wage</a:t>
            </a:r>
          </a:p>
          <a:p>
            <a:pPr>
              <a:defRPr sz="1000" b="0" i="0" u="none" strike="noStrike" baseline="0">
                <a:solidFill>
                  <a:srgbClr val="000000"/>
                </a:solidFill>
                <a:latin typeface="Calibri"/>
                <a:ea typeface="Calibri"/>
                <a:cs typeface="Calibri"/>
              </a:defRPr>
            </a:pPr>
            <a:r>
              <a:rPr lang="en-NZ" sz="1200" b="1" i="0" u="none" strike="noStrike" baseline="0">
                <a:solidFill>
                  <a:srgbClr val="000000"/>
                </a:solidFill>
                <a:latin typeface="Calibri"/>
                <a:cs typeface="Calibri"/>
              </a:rPr>
              <a:t>Average increase for year to quarter</a:t>
            </a:r>
          </a:p>
        </c:rich>
      </c:tx>
      <c:overlay val="0"/>
    </c:title>
    <c:autoTitleDeleted val="0"/>
    <c:plotArea>
      <c:layout/>
      <c:lineChart>
        <c:grouping val="standard"/>
        <c:varyColors val="0"/>
        <c:ser>
          <c:idx val="0"/>
          <c:order val="0"/>
          <c:tx>
            <c:strRef>
              <c:f>'Wage, price statistics'!$DN$3</c:f>
              <c:strCache>
                <c:ptCount val="1"/>
                <c:pt idx="0">
                  <c:v>Health Care and Social Assistance</c:v>
                </c:pt>
              </c:strCache>
            </c:strRef>
          </c:tx>
          <c:spPr>
            <a:ln>
              <a:solidFill>
                <a:srgbClr val="C00000"/>
              </a:solidFill>
            </a:ln>
          </c:spPr>
          <c:marker>
            <c:symbol val="none"/>
          </c:marker>
          <c:cat>
            <c:numRef>
              <c:f>'Wage, price statistics'!$DM$57:$DM$123</c:f>
              <c:numCache>
                <c:formatCode>mmm\-yy</c:formatCode>
                <c:ptCount val="67"/>
                <c:pt idx="0">
                  <c:v>37408</c:v>
                </c:pt>
                <c:pt idx="1">
                  <c:v>37500</c:v>
                </c:pt>
                <c:pt idx="2">
                  <c:v>37591</c:v>
                </c:pt>
                <c:pt idx="3">
                  <c:v>37681</c:v>
                </c:pt>
                <c:pt idx="4">
                  <c:v>37773</c:v>
                </c:pt>
                <c:pt idx="5">
                  <c:v>37865</c:v>
                </c:pt>
                <c:pt idx="6">
                  <c:v>37956</c:v>
                </c:pt>
                <c:pt idx="7">
                  <c:v>38047</c:v>
                </c:pt>
                <c:pt idx="8">
                  <c:v>38139</c:v>
                </c:pt>
                <c:pt idx="9">
                  <c:v>38231</c:v>
                </c:pt>
                <c:pt idx="10">
                  <c:v>38322</c:v>
                </c:pt>
                <c:pt idx="11">
                  <c:v>38412</c:v>
                </c:pt>
                <c:pt idx="12">
                  <c:v>38504</c:v>
                </c:pt>
                <c:pt idx="13">
                  <c:v>38596</c:v>
                </c:pt>
                <c:pt idx="14">
                  <c:v>38687</c:v>
                </c:pt>
                <c:pt idx="15">
                  <c:v>38777</c:v>
                </c:pt>
                <c:pt idx="16">
                  <c:v>38869</c:v>
                </c:pt>
                <c:pt idx="17">
                  <c:v>38961</c:v>
                </c:pt>
                <c:pt idx="18">
                  <c:v>39052</c:v>
                </c:pt>
                <c:pt idx="19">
                  <c:v>39142</c:v>
                </c:pt>
                <c:pt idx="20">
                  <c:v>39234</c:v>
                </c:pt>
                <c:pt idx="21">
                  <c:v>39326</c:v>
                </c:pt>
                <c:pt idx="22">
                  <c:v>39417</c:v>
                </c:pt>
                <c:pt idx="23">
                  <c:v>39508</c:v>
                </c:pt>
                <c:pt idx="24">
                  <c:v>39600</c:v>
                </c:pt>
                <c:pt idx="25">
                  <c:v>39692</c:v>
                </c:pt>
                <c:pt idx="26">
                  <c:v>39783</c:v>
                </c:pt>
                <c:pt idx="27">
                  <c:v>39873</c:v>
                </c:pt>
                <c:pt idx="28">
                  <c:v>39965</c:v>
                </c:pt>
                <c:pt idx="29">
                  <c:v>40057</c:v>
                </c:pt>
                <c:pt idx="30">
                  <c:v>40148</c:v>
                </c:pt>
                <c:pt idx="31">
                  <c:v>40238</c:v>
                </c:pt>
                <c:pt idx="32">
                  <c:v>40330</c:v>
                </c:pt>
                <c:pt idx="33">
                  <c:v>40422</c:v>
                </c:pt>
                <c:pt idx="34">
                  <c:v>40513</c:v>
                </c:pt>
                <c:pt idx="35">
                  <c:v>40603</c:v>
                </c:pt>
                <c:pt idx="36">
                  <c:v>40695</c:v>
                </c:pt>
                <c:pt idx="37">
                  <c:v>40787</c:v>
                </c:pt>
                <c:pt idx="38">
                  <c:v>40878</c:v>
                </c:pt>
                <c:pt idx="39">
                  <c:v>40969</c:v>
                </c:pt>
                <c:pt idx="40">
                  <c:v>41061</c:v>
                </c:pt>
                <c:pt idx="41">
                  <c:v>41153</c:v>
                </c:pt>
                <c:pt idx="42">
                  <c:v>41244</c:v>
                </c:pt>
                <c:pt idx="43">
                  <c:v>41334</c:v>
                </c:pt>
                <c:pt idx="44">
                  <c:v>41426</c:v>
                </c:pt>
                <c:pt idx="45">
                  <c:v>41518</c:v>
                </c:pt>
                <c:pt idx="46">
                  <c:v>41609</c:v>
                </c:pt>
                <c:pt idx="47">
                  <c:v>41699</c:v>
                </c:pt>
                <c:pt idx="48">
                  <c:v>41791</c:v>
                </c:pt>
                <c:pt idx="49">
                  <c:v>41883</c:v>
                </c:pt>
                <c:pt idx="50">
                  <c:v>41974</c:v>
                </c:pt>
                <c:pt idx="51">
                  <c:v>42064</c:v>
                </c:pt>
                <c:pt idx="52">
                  <c:v>42156</c:v>
                </c:pt>
                <c:pt idx="53">
                  <c:v>42248</c:v>
                </c:pt>
                <c:pt idx="54">
                  <c:v>42339</c:v>
                </c:pt>
                <c:pt idx="55">
                  <c:v>42430</c:v>
                </c:pt>
                <c:pt idx="56">
                  <c:v>42522</c:v>
                </c:pt>
                <c:pt idx="57">
                  <c:v>42614</c:v>
                </c:pt>
                <c:pt idx="58">
                  <c:v>42705</c:v>
                </c:pt>
                <c:pt idx="59">
                  <c:v>42795</c:v>
                </c:pt>
                <c:pt idx="60">
                  <c:v>42887</c:v>
                </c:pt>
                <c:pt idx="61">
                  <c:v>42979</c:v>
                </c:pt>
                <c:pt idx="62">
                  <c:v>43070</c:v>
                </c:pt>
                <c:pt idx="63">
                  <c:v>43160</c:v>
                </c:pt>
                <c:pt idx="64">
                  <c:v>43252</c:v>
                </c:pt>
                <c:pt idx="65">
                  <c:v>43344</c:v>
                </c:pt>
                <c:pt idx="66">
                  <c:v>43435</c:v>
                </c:pt>
              </c:numCache>
            </c:numRef>
          </c:cat>
          <c:val>
            <c:numRef>
              <c:f>'Wage, price statistics'!$DR$57:$DR$123</c:f>
              <c:numCache>
                <c:formatCode>0.0%</c:formatCode>
                <c:ptCount val="67"/>
                <c:pt idx="0">
                  <c:v>3.7538875227876245E-2</c:v>
                </c:pt>
                <c:pt idx="1">
                  <c:v>2.840060981554271E-2</c:v>
                </c:pt>
                <c:pt idx="2">
                  <c:v>2.917195305732867E-2</c:v>
                </c:pt>
                <c:pt idx="3">
                  <c:v>2.7570266034777635E-2</c:v>
                </c:pt>
                <c:pt idx="4">
                  <c:v>2.8426046297205465E-2</c:v>
                </c:pt>
                <c:pt idx="5">
                  <c:v>3.2712419144792504E-2</c:v>
                </c:pt>
                <c:pt idx="6">
                  <c:v>3.632858451171761E-2</c:v>
                </c:pt>
                <c:pt idx="7">
                  <c:v>3.74292998536776E-2</c:v>
                </c:pt>
                <c:pt idx="8">
                  <c:v>4.128587249880411E-2</c:v>
                </c:pt>
                <c:pt idx="9">
                  <c:v>4.5854888863185783E-2</c:v>
                </c:pt>
                <c:pt idx="10">
                  <c:v>3.8542455855410385E-2</c:v>
                </c:pt>
                <c:pt idx="11">
                  <c:v>4.3753461934363358E-2</c:v>
                </c:pt>
                <c:pt idx="12">
                  <c:v>4.6983079343535517E-2</c:v>
                </c:pt>
                <c:pt idx="13">
                  <c:v>4.8294298169709204E-2</c:v>
                </c:pt>
                <c:pt idx="14">
                  <c:v>5.8798043535532196E-2</c:v>
                </c:pt>
                <c:pt idx="15">
                  <c:v>6.2847171489589293E-2</c:v>
                </c:pt>
                <c:pt idx="16">
                  <c:v>5.7766115589586997E-2</c:v>
                </c:pt>
                <c:pt idx="17">
                  <c:v>5.9763524399984336E-2</c:v>
                </c:pt>
                <c:pt idx="18">
                  <c:v>5.6178293277137303E-2</c:v>
                </c:pt>
                <c:pt idx="19">
                  <c:v>5.2317640258017217E-2</c:v>
                </c:pt>
                <c:pt idx="20">
                  <c:v>5.9481602480188078E-2</c:v>
                </c:pt>
                <c:pt idx="21">
                  <c:v>5.4968365193583724E-2</c:v>
                </c:pt>
                <c:pt idx="22">
                  <c:v>5.7778969577783279E-2</c:v>
                </c:pt>
                <c:pt idx="23">
                  <c:v>6.0025045377239516E-2</c:v>
                </c:pt>
                <c:pt idx="24">
                  <c:v>5.8702493339611195E-2</c:v>
                </c:pt>
                <c:pt idx="25">
                  <c:v>6.4991608513503385E-2</c:v>
                </c:pt>
                <c:pt idx="26">
                  <c:v>6.6705412096979222E-2</c:v>
                </c:pt>
                <c:pt idx="27">
                  <c:v>6.3781712438713001E-2</c:v>
                </c:pt>
                <c:pt idx="28">
                  <c:v>6.0559082573029555E-2</c:v>
                </c:pt>
                <c:pt idx="29">
                  <c:v>4.8465857305000748E-2</c:v>
                </c:pt>
                <c:pt idx="30">
                  <c:v>3.7587454206340354E-2</c:v>
                </c:pt>
                <c:pt idx="31">
                  <c:v>3.0134333354027598E-2</c:v>
                </c:pt>
                <c:pt idx="32">
                  <c:v>1.7456307281236816E-2</c:v>
                </c:pt>
                <c:pt idx="33">
                  <c:v>1.6207535076429913E-2</c:v>
                </c:pt>
                <c:pt idx="34">
                  <c:v>1.2108283200708669E-2</c:v>
                </c:pt>
                <c:pt idx="35">
                  <c:v>1.2815463242916714E-2</c:v>
                </c:pt>
                <c:pt idx="36">
                  <c:v>2.3185640115199746E-2</c:v>
                </c:pt>
                <c:pt idx="37">
                  <c:v>2.4121835929238333E-2</c:v>
                </c:pt>
                <c:pt idx="38">
                  <c:v>2.9155585709931264E-2</c:v>
                </c:pt>
                <c:pt idx="39">
                  <c:v>2.7928491251343779E-2</c:v>
                </c:pt>
                <c:pt idx="40">
                  <c:v>2.334844233317912E-2</c:v>
                </c:pt>
                <c:pt idx="41">
                  <c:v>2.2238855747701347E-2</c:v>
                </c:pt>
                <c:pt idx="42">
                  <c:v>1.6978845490520644E-2</c:v>
                </c:pt>
                <c:pt idx="43">
                  <c:v>1.1580506580675554E-2</c:v>
                </c:pt>
                <c:pt idx="44">
                  <c:v>3.8718748990655971E-3</c:v>
                </c:pt>
                <c:pt idx="45">
                  <c:v>2.3983819763293557E-3</c:v>
                </c:pt>
                <c:pt idx="46">
                  <c:v>6.1235145634772614E-3</c:v>
                </c:pt>
                <c:pt idx="47">
                  <c:v>1.5929126766692114E-2</c:v>
                </c:pt>
                <c:pt idx="48">
                  <c:v>2.3022558070800114E-2</c:v>
                </c:pt>
                <c:pt idx="49">
                  <c:v>2.7127384315636993E-2</c:v>
                </c:pt>
                <c:pt idx="50">
                  <c:v>2.7775431204141388E-2</c:v>
                </c:pt>
                <c:pt idx="51">
                  <c:v>2.1750465905005623E-2</c:v>
                </c:pt>
                <c:pt idx="52">
                  <c:v>2.3019480027607564E-2</c:v>
                </c:pt>
                <c:pt idx="53">
                  <c:v>2.002283775529734E-2</c:v>
                </c:pt>
                <c:pt idx="54">
                  <c:v>1.7353555919162655E-2</c:v>
                </c:pt>
                <c:pt idx="55">
                  <c:v>1.8486618194129667E-2</c:v>
                </c:pt>
                <c:pt idx="56">
                  <c:v>1.3717234704899939E-2</c:v>
                </c:pt>
                <c:pt idx="57">
                  <c:v>1.3154201831701906E-2</c:v>
                </c:pt>
                <c:pt idx="58">
                  <c:v>6.6034050173520153E-3</c:v>
                </c:pt>
                <c:pt idx="59">
                  <c:v>4.4832667421235151E-3</c:v>
                </c:pt>
                <c:pt idx="60">
                  <c:v>8.8447098863579932E-3</c:v>
                </c:pt>
                <c:pt idx="61">
                  <c:v>1.4842949079504564E-2</c:v>
                </c:pt>
                <c:pt idx="62">
                  <c:v>3.1626955819049174E-2</c:v>
                </c:pt>
                <c:pt idx="63">
                  <c:v>4.2770168196300862E-2</c:v>
                </c:pt>
                <c:pt idx="64">
                  <c:v>4.8042374113670405E-2</c:v>
                </c:pt>
                <c:pt idx="65">
                  <c:v>4.7373125768532143E-2</c:v>
                </c:pt>
                <c:pt idx="66">
                  <c:v>4.3638189810861983E-2</c:v>
                </c:pt>
              </c:numCache>
            </c:numRef>
          </c:val>
          <c:smooth val="0"/>
        </c:ser>
        <c:ser>
          <c:idx val="1"/>
          <c:order val="1"/>
          <c:tx>
            <c:strRef>
              <c:f>'Wage, price statistics'!$DO$3</c:f>
              <c:strCache>
                <c:ptCount val="1"/>
                <c:pt idx="0">
                  <c:v>All industries</c:v>
                </c:pt>
              </c:strCache>
            </c:strRef>
          </c:tx>
          <c:spPr>
            <a:ln>
              <a:solidFill>
                <a:srgbClr val="0070C0"/>
              </a:solidFill>
            </a:ln>
          </c:spPr>
          <c:marker>
            <c:symbol val="none"/>
          </c:marker>
          <c:cat>
            <c:numRef>
              <c:f>'Wage, price statistics'!$DM$57:$DM$123</c:f>
              <c:numCache>
                <c:formatCode>mmm\-yy</c:formatCode>
                <c:ptCount val="67"/>
                <c:pt idx="0">
                  <c:v>37408</c:v>
                </c:pt>
                <c:pt idx="1">
                  <c:v>37500</c:v>
                </c:pt>
                <c:pt idx="2">
                  <c:v>37591</c:v>
                </c:pt>
                <c:pt idx="3">
                  <c:v>37681</c:v>
                </c:pt>
                <c:pt idx="4">
                  <c:v>37773</c:v>
                </c:pt>
                <c:pt idx="5">
                  <c:v>37865</c:v>
                </c:pt>
                <c:pt idx="6">
                  <c:v>37956</c:v>
                </c:pt>
                <c:pt idx="7">
                  <c:v>38047</c:v>
                </c:pt>
                <c:pt idx="8">
                  <c:v>38139</c:v>
                </c:pt>
                <c:pt idx="9">
                  <c:v>38231</c:v>
                </c:pt>
                <c:pt idx="10">
                  <c:v>38322</c:v>
                </c:pt>
                <c:pt idx="11">
                  <c:v>38412</c:v>
                </c:pt>
                <c:pt idx="12">
                  <c:v>38504</c:v>
                </c:pt>
                <c:pt idx="13">
                  <c:v>38596</c:v>
                </c:pt>
                <c:pt idx="14">
                  <c:v>38687</c:v>
                </c:pt>
                <c:pt idx="15">
                  <c:v>38777</c:v>
                </c:pt>
                <c:pt idx="16">
                  <c:v>38869</c:v>
                </c:pt>
                <c:pt idx="17">
                  <c:v>38961</c:v>
                </c:pt>
                <c:pt idx="18">
                  <c:v>39052</c:v>
                </c:pt>
                <c:pt idx="19">
                  <c:v>39142</c:v>
                </c:pt>
                <c:pt idx="20">
                  <c:v>39234</c:v>
                </c:pt>
                <c:pt idx="21">
                  <c:v>39326</c:v>
                </c:pt>
                <c:pt idx="22">
                  <c:v>39417</c:v>
                </c:pt>
                <c:pt idx="23">
                  <c:v>39508</c:v>
                </c:pt>
                <c:pt idx="24">
                  <c:v>39600</c:v>
                </c:pt>
                <c:pt idx="25">
                  <c:v>39692</c:v>
                </c:pt>
                <c:pt idx="26">
                  <c:v>39783</c:v>
                </c:pt>
                <c:pt idx="27">
                  <c:v>39873</c:v>
                </c:pt>
                <c:pt idx="28">
                  <c:v>39965</c:v>
                </c:pt>
                <c:pt idx="29">
                  <c:v>40057</c:v>
                </c:pt>
                <c:pt idx="30">
                  <c:v>40148</c:v>
                </c:pt>
                <c:pt idx="31">
                  <c:v>40238</c:v>
                </c:pt>
                <c:pt idx="32">
                  <c:v>40330</c:v>
                </c:pt>
                <c:pt idx="33">
                  <c:v>40422</c:v>
                </c:pt>
                <c:pt idx="34">
                  <c:v>40513</c:v>
                </c:pt>
                <c:pt idx="35">
                  <c:v>40603</c:v>
                </c:pt>
                <c:pt idx="36">
                  <c:v>40695</c:v>
                </c:pt>
                <c:pt idx="37">
                  <c:v>40787</c:v>
                </c:pt>
                <c:pt idx="38">
                  <c:v>40878</c:v>
                </c:pt>
                <c:pt idx="39">
                  <c:v>40969</c:v>
                </c:pt>
                <c:pt idx="40">
                  <c:v>41061</c:v>
                </c:pt>
                <c:pt idx="41">
                  <c:v>41153</c:v>
                </c:pt>
                <c:pt idx="42">
                  <c:v>41244</c:v>
                </c:pt>
                <c:pt idx="43">
                  <c:v>41334</c:v>
                </c:pt>
                <c:pt idx="44">
                  <c:v>41426</c:v>
                </c:pt>
                <c:pt idx="45">
                  <c:v>41518</c:v>
                </c:pt>
                <c:pt idx="46">
                  <c:v>41609</c:v>
                </c:pt>
                <c:pt idx="47">
                  <c:v>41699</c:v>
                </c:pt>
                <c:pt idx="48">
                  <c:v>41791</c:v>
                </c:pt>
                <c:pt idx="49">
                  <c:v>41883</c:v>
                </c:pt>
                <c:pt idx="50">
                  <c:v>41974</c:v>
                </c:pt>
                <c:pt idx="51">
                  <c:v>42064</c:v>
                </c:pt>
                <c:pt idx="52">
                  <c:v>42156</c:v>
                </c:pt>
                <c:pt idx="53">
                  <c:v>42248</c:v>
                </c:pt>
                <c:pt idx="54">
                  <c:v>42339</c:v>
                </c:pt>
                <c:pt idx="55">
                  <c:v>42430</c:v>
                </c:pt>
                <c:pt idx="56">
                  <c:v>42522</c:v>
                </c:pt>
                <c:pt idx="57">
                  <c:v>42614</c:v>
                </c:pt>
                <c:pt idx="58">
                  <c:v>42705</c:v>
                </c:pt>
                <c:pt idx="59">
                  <c:v>42795</c:v>
                </c:pt>
                <c:pt idx="60">
                  <c:v>42887</c:v>
                </c:pt>
                <c:pt idx="61">
                  <c:v>42979</c:v>
                </c:pt>
                <c:pt idx="62">
                  <c:v>43070</c:v>
                </c:pt>
                <c:pt idx="63">
                  <c:v>43160</c:v>
                </c:pt>
                <c:pt idx="64">
                  <c:v>43252</c:v>
                </c:pt>
                <c:pt idx="65">
                  <c:v>43344</c:v>
                </c:pt>
                <c:pt idx="66">
                  <c:v>43435</c:v>
                </c:pt>
              </c:numCache>
            </c:numRef>
          </c:cat>
          <c:val>
            <c:numRef>
              <c:f>'Wage, price statistics'!$DS$57:$DS$123</c:f>
              <c:numCache>
                <c:formatCode>0.0%</c:formatCode>
                <c:ptCount val="67"/>
                <c:pt idx="0">
                  <c:v>3.2015838230747606E-2</c:v>
                </c:pt>
                <c:pt idx="1">
                  <c:v>3.1050100785261936E-2</c:v>
                </c:pt>
                <c:pt idx="2">
                  <c:v>3.1721400366620411E-2</c:v>
                </c:pt>
                <c:pt idx="3">
                  <c:v>2.8470304020777881E-2</c:v>
                </c:pt>
                <c:pt idx="4">
                  <c:v>3.1940285388720735E-2</c:v>
                </c:pt>
                <c:pt idx="5">
                  <c:v>3.1972169549931762E-2</c:v>
                </c:pt>
                <c:pt idx="6">
                  <c:v>3.126823942654644E-2</c:v>
                </c:pt>
                <c:pt idx="7">
                  <c:v>3.3876917954344998E-2</c:v>
                </c:pt>
                <c:pt idx="8">
                  <c:v>3.5844816902946608E-2</c:v>
                </c:pt>
                <c:pt idx="9">
                  <c:v>3.6888078264352364E-2</c:v>
                </c:pt>
                <c:pt idx="10">
                  <c:v>3.4078103515235991E-2</c:v>
                </c:pt>
                <c:pt idx="11">
                  <c:v>3.4807691039801858E-2</c:v>
                </c:pt>
                <c:pt idx="12">
                  <c:v>3.2239439431233086E-2</c:v>
                </c:pt>
                <c:pt idx="13">
                  <c:v>3.4143436529700866E-2</c:v>
                </c:pt>
                <c:pt idx="14">
                  <c:v>4.2281232126077928E-2</c:v>
                </c:pt>
                <c:pt idx="15">
                  <c:v>4.6324452591113729E-2</c:v>
                </c:pt>
                <c:pt idx="16">
                  <c:v>4.8783845629521094E-2</c:v>
                </c:pt>
                <c:pt idx="17">
                  <c:v>5.0944079584811064E-2</c:v>
                </c:pt>
                <c:pt idx="18">
                  <c:v>4.9885581568595017E-2</c:v>
                </c:pt>
                <c:pt idx="19">
                  <c:v>4.8414173337856914E-2</c:v>
                </c:pt>
                <c:pt idx="20">
                  <c:v>4.793315853179303E-2</c:v>
                </c:pt>
                <c:pt idx="21">
                  <c:v>4.5060673572120402E-2</c:v>
                </c:pt>
                <c:pt idx="22">
                  <c:v>4.2789451875381079E-2</c:v>
                </c:pt>
                <c:pt idx="23">
                  <c:v>4.2592085652630729E-2</c:v>
                </c:pt>
                <c:pt idx="24">
                  <c:v>4.5091749757096622E-2</c:v>
                </c:pt>
                <c:pt idx="25">
                  <c:v>4.901841992298861E-2</c:v>
                </c:pt>
                <c:pt idx="26">
                  <c:v>5.2674590086278172E-2</c:v>
                </c:pt>
                <c:pt idx="27">
                  <c:v>5.4590875917572834E-2</c:v>
                </c:pt>
                <c:pt idx="28">
                  <c:v>5.2883083233057127E-2</c:v>
                </c:pt>
                <c:pt idx="29">
                  <c:v>4.8663659939445214E-2</c:v>
                </c:pt>
                <c:pt idx="30">
                  <c:v>4.1524487592363712E-2</c:v>
                </c:pt>
                <c:pt idx="31">
                  <c:v>3.0706688300104812E-2</c:v>
                </c:pt>
                <c:pt idx="32">
                  <c:v>2.1987045684796813E-2</c:v>
                </c:pt>
                <c:pt idx="33">
                  <c:v>1.5475319262093112E-2</c:v>
                </c:pt>
                <c:pt idx="34">
                  <c:v>1.3242361814829184E-2</c:v>
                </c:pt>
                <c:pt idx="35">
                  <c:v>1.7055054325935792E-2</c:v>
                </c:pt>
                <c:pt idx="36">
                  <c:v>2.1922060036982272E-2</c:v>
                </c:pt>
                <c:pt idx="37">
                  <c:v>2.684405198820583E-2</c:v>
                </c:pt>
                <c:pt idx="38">
                  <c:v>2.9284638145861352E-2</c:v>
                </c:pt>
                <c:pt idx="39">
                  <c:v>3.2388716485847846E-2</c:v>
                </c:pt>
                <c:pt idx="40">
                  <c:v>3.1683804011731764E-2</c:v>
                </c:pt>
                <c:pt idx="41">
                  <c:v>3.049018073001708E-2</c:v>
                </c:pt>
                <c:pt idx="42">
                  <c:v>3.0107338464090638E-2</c:v>
                </c:pt>
                <c:pt idx="43">
                  <c:v>2.5677471551958098E-2</c:v>
                </c:pt>
                <c:pt idx="44">
                  <c:v>2.3821754851560684E-2</c:v>
                </c:pt>
                <c:pt idx="45">
                  <c:v>2.318219045432901E-2</c:v>
                </c:pt>
                <c:pt idx="46">
                  <c:v>2.31916974085562E-2</c:v>
                </c:pt>
                <c:pt idx="47">
                  <c:v>2.4177054417144017E-2</c:v>
                </c:pt>
                <c:pt idx="48">
                  <c:v>2.5438913753230263E-2</c:v>
                </c:pt>
                <c:pt idx="49">
                  <c:v>2.5198156358811952E-2</c:v>
                </c:pt>
                <c:pt idx="50">
                  <c:v>2.5291473234859918E-2</c:v>
                </c:pt>
                <c:pt idx="51">
                  <c:v>2.425382917842156E-2</c:v>
                </c:pt>
                <c:pt idx="52">
                  <c:v>2.4891577093260508E-2</c:v>
                </c:pt>
                <c:pt idx="53">
                  <c:v>2.4576782201445768E-2</c:v>
                </c:pt>
                <c:pt idx="54">
                  <c:v>2.3182746694823342E-2</c:v>
                </c:pt>
                <c:pt idx="55">
                  <c:v>2.4122624179023111E-2</c:v>
                </c:pt>
                <c:pt idx="56">
                  <c:v>2.2557301159242149E-2</c:v>
                </c:pt>
                <c:pt idx="57">
                  <c:v>2.1406214685584679E-2</c:v>
                </c:pt>
                <c:pt idx="58">
                  <c:v>1.9331548587021796E-2</c:v>
                </c:pt>
                <c:pt idx="59">
                  <c:v>1.7325372277375184E-2</c:v>
                </c:pt>
                <c:pt idx="60">
                  <c:v>1.5949415922644317E-2</c:v>
                </c:pt>
                <c:pt idx="61">
                  <c:v>1.7038005052036898E-2</c:v>
                </c:pt>
                <c:pt idx="62">
                  <c:v>2.1595031267831466E-2</c:v>
                </c:pt>
                <c:pt idx="63">
                  <c:v>2.6443812664250999E-2</c:v>
                </c:pt>
                <c:pt idx="64">
                  <c:v>3.0127929093520356E-2</c:v>
                </c:pt>
                <c:pt idx="65">
                  <c:v>3.1733641800410828E-2</c:v>
                </c:pt>
                <c:pt idx="66">
                  <c:v>3.1655129386657599E-2</c:v>
                </c:pt>
              </c:numCache>
            </c:numRef>
          </c:val>
          <c:smooth val="0"/>
        </c:ser>
        <c:dLbls>
          <c:showLegendKey val="0"/>
          <c:showVal val="0"/>
          <c:showCatName val="0"/>
          <c:showSerName val="0"/>
          <c:showPercent val="0"/>
          <c:showBubbleSize val="0"/>
        </c:dLbls>
        <c:smooth val="0"/>
        <c:axId val="777567488"/>
        <c:axId val="777569056"/>
      </c:lineChart>
      <c:dateAx>
        <c:axId val="777567488"/>
        <c:scaling>
          <c:orientation val="minMax"/>
        </c:scaling>
        <c:delete val="0"/>
        <c:axPos val="b"/>
        <c:numFmt formatCode="yyyy"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77569056"/>
        <c:crosses val="autoZero"/>
        <c:auto val="1"/>
        <c:lblOffset val="100"/>
        <c:baseTimeUnit val="months"/>
        <c:majorUnit val="12"/>
        <c:majorTimeUnit val="months"/>
        <c:minorUnit val="11"/>
        <c:minorTimeUnit val="days"/>
      </c:dateAx>
      <c:valAx>
        <c:axId val="777569056"/>
        <c:scaling>
          <c:orientation val="minMax"/>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77567488"/>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NZ"/>
              <a:t>Annual increase in Labour Cost Index</a:t>
            </a:r>
          </a:p>
        </c:rich>
      </c:tx>
      <c:overlay val="0"/>
    </c:title>
    <c:autoTitleDeleted val="0"/>
    <c:plotArea>
      <c:layout/>
      <c:lineChart>
        <c:grouping val="standard"/>
        <c:varyColors val="0"/>
        <c:ser>
          <c:idx val="2"/>
          <c:order val="0"/>
          <c:tx>
            <c:strRef>
              <c:f>'Wage, price statistics'!$DE$2</c:f>
              <c:strCache>
                <c:ptCount val="1"/>
                <c:pt idx="0">
                  <c:v>Health</c:v>
                </c:pt>
              </c:strCache>
            </c:strRef>
          </c:tx>
          <c:spPr>
            <a:ln w="38100">
              <a:solidFill>
                <a:srgbClr val="C00000"/>
              </a:solidFill>
            </a:ln>
          </c:spPr>
          <c:marker>
            <c:symbol val="none"/>
          </c:marker>
          <c:cat>
            <c:numRef>
              <c:f>'Wage, price statistics'!$DB$8:$DB$74</c:f>
              <c:numCache>
                <c:formatCode>mmm\-yy</c:formatCode>
                <c:ptCount val="67"/>
                <c:pt idx="0">
                  <c:v>37408</c:v>
                </c:pt>
                <c:pt idx="1">
                  <c:v>37500</c:v>
                </c:pt>
                <c:pt idx="2">
                  <c:v>37591</c:v>
                </c:pt>
                <c:pt idx="3">
                  <c:v>37681</c:v>
                </c:pt>
                <c:pt idx="4">
                  <c:v>37773</c:v>
                </c:pt>
                <c:pt idx="5">
                  <c:v>37865</c:v>
                </c:pt>
                <c:pt idx="6">
                  <c:v>37956</c:v>
                </c:pt>
                <c:pt idx="7">
                  <c:v>38047</c:v>
                </c:pt>
                <c:pt idx="8">
                  <c:v>38139</c:v>
                </c:pt>
                <c:pt idx="9">
                  <c:v>38231</c:v>
                </c:pt>
                <c:pt idx="10">
                  <c:v>38322</c:v>
                </c:pt>
                <c:pt idx="11">
                  <c:v>38412</c:v>
                </c:pt>
                <c:pt idx="12">
                  <c:v>38504</c:v>
                </c:pt>
                <c:pt idx="13">
                  <c:v>38596</c:v>
                </c:pt>
                <c:pt idx="14">
                  <c:v>38687</c:v>
                </c:pt>
                <c:pt idx="15">
                  <c:v>38777</c:v>
                </c:pt>
                <c:pt idx="16">
                  <c:v>38869</c:v>
                </c:pt>
                <c:pt idx="17">
                  <c:v>38961</c:v>
                </c:pt>
                <c:pt idx="18">
                  <c:v>39052</c:v>
                </c:pt>
                <c:pt idx="19">
                  <c:v>39142</c:v>
                </c:pt>
                <c:pt idx="20">
                  <c:v>39234</c:v>
                </c:pt>
                <c:pt idx="21">
                  <c:v>39326</c:v>
                </c:pt>
                <c:pt idx="22">
                  <c:v>39417</c:v>
                </c:pt>
                <c:pt idx="23">
                  <c:v>39508</c:v>
                </c:pt>
                <c:pt idx="24">
                  <c:v>39600</c:v>
                </c:pt>
                <c:pt idx="25">
                  <c:v>39692</c:v>
                </c:pt>
                <c:pt idx="26">
                  <c:v>39783</c:v>
                </c:pt>
                <c:pt idx="27">
                  <c:v>39873</c:v>
                </c:pt>
                <c:pt idx="28">
                  <c:v>39965</c:v>
                </c:pt>
                <c:pt idx="29">
                  <c:v>40057</c:v>
                </c:pt>
                <c:pt idx="30">
                  <c:v>40148</c:v>
                </c:pt>
                <c:pt idx="31">
                  <c:v>40238</c:v>
                </c:pt>
                <c:pt idx="32">
                  <c:v>40330</c:v>
                </c:pt>
                <c:pt idx="33">
                  <c:v>40422</c:v>
                </c:pt>
                <c:pt idx="34">
                  <c:v>40513</c:v>
                </c:pt>
                <c:pt idx="35">
                  <c:v>40603</c:v>
                </c:pt>
                <c:pt idx="36">
                  <c:v>40695</c:v>
                </c:pt>
                <c:pt idx="37">
                  <c:v>40787</c:v>
                </c:pt>
                <c:pt idx="38">
                  <c:v>40878</c:v>
                </c:pt>
                <c:pt idx="39">
                  <c:v>40969</c:v>
                </c:pt>
                <c:pt idx="40">
                  <c:v>41061</c:v>
                </c:pt>
                <c:pt idx="41">
                  <c:v>41153</c:v>
                </c:pt>
                <c:pt idx="42">
                  <c:v>41244</c:v>
                </c:pt>
                <c:pt idx="43">
                  <c:v>41334</c:v>
                </c:pt>
                <c:pt idx="44">
                  <c:v>41426</c:v>
                </c:pt>
                <c:pt idx="45">
                  <c:v>41518</c:v>
                </c:pt>
                <c:pt idx="46">
                  <c:v>41609</c:v>
                </c:pt>
                <c:pt idx="47">
                  <c:v>41699</c:v>
                </c:pt>
                <c:pt idx="48">
                  <c:v>41791</c:v>
                </c:pt>
                <c:pt idx="49">
                  <c:v>41883</c:v>
                </c:pt>
                <c:pt idx="50">
                  <c:v>41974</c:v>
                </c:pt>
                <c:pt idx="51">
                  <c:v>42064</c:v>
                </c:pt>
                <c:pt idx="52">
                  <c:v>42156</c:v>
                </c:pt>
                <c:pt idx="53">
                  <c:v>42248</c:v>
                </c:pt>
                <c:pt idx="54">
                  <c:v>42339</c:v>
                </c:pt>
                <c:pt idx="55">
                  <c:v>42430</c:v>
                </c:pt>
                <c:pt idx="56">
                  <c:v>42522</c:v>
                </c:pt>
                <c:pt idx="57">
                  <c:v>42614</c:v>
                </c:pt>
                <c:pt idx="58">
                  <c:v>42705</c:v>
                </c:pt>
                <c:pt idx="59">
                  <c:v>42795</c:v>
                </c:pt>
                <c:pt idx="60">
                  <c:v>42887</c:v>
                </c:pt>
                <c:pt idx="61">
                  <c:v>42979</c:v>
                </c:pt>
                <c:pt idx="62">
                  <c:v>43070</c:v>
                </c:pt>
                <c:pt idx="63">
                  <c:v>43160</c:v>
                </c:pt>
                <c:pt idx="64">
                  <c:v>43252</c:v>
                </c:pt>
                <c:pt idx="65">
                  <c:v>43344</c:v>
                </c:pt>
                <c:pt idx="66">
                  <c:v>43435</c:v>
                </c:pt>
              </c:numCache>
            </c:numRef>
          </c:cat>
          <c:val>
            <c:numRef>
              <c:f>'Wage, price statistics'!$DE$8:$DE$74</c:f>
              <c:numCache>
                <c:formatCode>0.0%</c:formatCode>
                <c:ptCount val="67"/>
                <c:pt idx="0">
                  <c:v>2.6000000000000023E-2</c:v>
                </c:pt>
                <c:pt idx="1">
                  <c:v>2.6812313803376453E-2</c:v>
                </c:pt>
                <c:pt idx="2">
                  <c:v>2.5590551181102317E-2</c:v>
                </c:pt>
                <c:pt idx="3">
                  <c:v>2.6418786692759211E-2</c:v>
                </c:pt>
                <c:pt idx="4">
                  <c:v>2.7290448343080032E-2</c:v>
                </c:pt>
                <c:pt idx="5">
                  <c:v>2.9013539651837617E-2</c:v>
                </c:pt>
                <c:pt idx="6">
                  <c:v>2.5911708253358867E-2</c:v>
                </c:pt>
                <c:pt idx="7">
                  <c:v>2.5738798856053346E-2</c:v>
                </c:pt>
                <c:pt idx="8">
                  <c:v>2.8462998102466885E-2</c:v>
                </c:pt>
                <c:pt idx="9">
                  <c:v>2.6315789473684292E-2</c:v>
                </c:pt>
                <c:pt idx="10">
                  <c:v>2.7128157156220745E-2</c:v>
                </c:pt>
                <c:pt idx="11">
                  <c:v>2.7881040892193232E-2</c:v>
                </c:pt>
                <c:pt idx="12">
                  <c:v>3.7822878228782386E-2</c:v>
                </c:pt>
                <c:pt idx="13">
                  <c:v>4.2124542124542197E-2</c:v>
                </c:pt>
                <c:pt idx="14">
                  <c:v>4.644808743169393E-2</c:v>
                </c:pt>
                <c:pt idx="15">
                  <c:v>4.8824593128390603E-2</c:v>
                </c:pt>
                <c:pt idx="16">
                  <c:v>3.7333333333333441E-2</c:v>
                </c:pt>
                <c:pt idx="17">
                  <c:v>5.0966608084358489E-2</c:v>
                </c:pt>
                <c:pt idx="18">
                  <c:v>5.3089643167972156E-2</c:v>
                </c:pt>
                <c:pt idx="19">
                  <c:v>4.9137931034482829E-2</c:v>
                </c:pt>
                <c:pt idx="20">
                  <c:v>4.8843187660668308E-2</c:v>
                </c:pt>
                <c:pt idx="21">
                  <c:v>3.4280936454849531E-2</c:v>
                </c:pt>
                <c:pt idx="22">
                  <c:v>4.1322314049586861E-2</c:v>
                </c:pt>
                <c:pt idx="23">
                  <c:v>4.6014790468364763E-2</c:v>
                </c:pt>
                <c:pt idx="24">
                  <c:v>5.1470588235294157E-2</c:v>
                </c:pt>
                <c:pt idx="25">
                  <c:v>5.6588520614389681E-2</c:v>
                </c:pt>
                <c:pt idx="26">
                  <c:v>4.2857142857142927E-2</c:v>
                </c:pt>
                <c:pt idx="27">
                  <c:v>4.3990573448546844E-2</c:v>
                </c:pt>
                <c:pt idx="28">
                  <c:v>4.3512043512043519E-2</c:v>
                </c:pt>
                <c:pt idx="29">
                  <c:v>3.3709257842387208E-2</c:v>
                </c:pt>
                <c:pt idx="30">
                  <c:v>3.3312785388127875E-2</c:v>
                </c:pt>
                <c:pt idx="31">
                  <c:v>2.5692249811888557E-2</c:v>
                </c:pt>
                <c:pt idx="32">
                  <c:v>1.8000000000000016E-2</c:v>
                </c:pt>
                <c:pt idx="33">
                  <c:v>1.491053677932408E-2</c:v>
                </c:pt>
                <c:pt idx="34">
                  <c:v>1.3847675568744E-2</c:v>
                </c:pt>
                <c:pt idx="35">
                  <c:v>1.7733990147783318E-2</c:v>
                </c:pt>
                <c:pt idx="36">
                  <c:v>1.5717092337917515E-2</c:v>
                </c:pt>
                <c:pt idx="37">
                  <c:v>1.7629774730656189E-2</c:v>
                </c:pt>
                <c:pt idx="38">
                  <c:v>1.7560975609756113E-2</c:v>
                </c:pt>
                <c:pt idx="39">
                  <c:v>1.3552758954501476E-2</c:v>
                </c:pt>
                <c:pt idx="40">
                  <c:v>1.934235976789167E-2</c:v>
                </c:pt>
                <c:pt idx="41">
                  <c:v>1.7324350336862304E-2</c:v>
                </c:pt>
                <c:pt idx="42">
                  <c:v>1.6299137104506256E-2</c:v>
                </c:pt>
                <c:pt idx="43">
                  <c:v>1.6236867239732389E-2</c:v>
                </c:pt>
                <c:pt idx="44">
                  <c:v>1.6129032258064502E-2</c:v>
                </c:pt>
                <c:pt idx="45">
                  <c:v>1.6083254493850507E-2</c:v>
                </c:pt>
                <c:pt idx="46">
                  <c:v>1.6981132075471583E-2</c:v>
                </c:pt>
                <c:pt idx="47">
                  <c:v>1.4097744360902276E-2</c:v>
                </c:pt>
                <c:pt idx="48">
                  <c:v>1.1204481792717047E-2</c:v>
                </c:pt>
                <c:pt idx="49">
                  <c:v>1.1173184357541999E-2</c:v>
                </c:pt>
                <c:pt idx="50">
                  <c:v>9.27643784786647E-3</c:v>
                </c:pt>
                <c:pt idx="51">
                  <c:v>1.0194624652456019E-2</c:v>
                </c:pt>
                <c:pt idx="52">
                  <c:v>9.2336103416434945E-3</c:v>
                </c:pt>
                <c:pt idx="53">
                  <c:v>9.208103130755152E-3</c:v>
                </c:pt>
                <c:pt idx="54">
                  <c:v>1.2867647058823595E-2</c:v>
                </c:pt>
                <c:pt idx="55">
                  <c:v>1.5596330275229553E-2</c:v>
                </c:pt>
                <c:pt idx="56">
                  <c:v>1.4638609332113584E-2</c:v>
                </c:pt>
                <c:pt idx="57">
                  <c:v>1.8248175182481674E-2</c:v>
                </c:pt>
                <c:pt idx="58">
                  <c:v>1.6333938294010864E-2</c:v>
                </c:pt>
                <c:pt idx="59">
                  <c:v>1.4453477868112019E-2</c:v>
                </c:pt>
                <c:pt idx="60">
                  <c:v>1.5329125338142457E-2</c:v>
                </c:pt>
                <c:pt idx="61">
                  <c:v>3.2258064516129004E-2</c:v>
                </c:pt>
                <c:pt idx="62">
                  <c:v>3.5714285714285809E-2</c:v>
                </c:pt>
                <c:pt idx="63">
                  <c:v>3.5618878005342802E-2</c:v>
                </c:pt>
                <c:pt idx="64">
                  <c:v>3.4635879218472443E-2</c:v>
                </c:pt>
                <c:pt idx="65">
                  <c:v>2.517361111111116E-2</c:v>
                </c:pt>
                <c:pt idx="66">
                  <c:v>2.7586206896551557E-2</c:v>
                </c:pt>
              </c:numCache>
            </c:numRef>
          </c:val>
          <c:smooth val="0"/>
        </c:ser>
        <c:ser>
          <c:idx val="3"/>
          <c:order val="1"/>
          <c:tx>
            <c:strRef>
              <c:f>'Wage, price statistics'!$DF$2</c:f>
              <c:strCache>
                <c:ptCount val="1"/>
                <c:pt idx="0">
                  <c:v>All industries</c:v>
                </c:pt>
              </c:strCache>
            </c:strRef>
          </c:tx>
          <c:spPr>
            <a:ln w="38100">
              <a:solidFill>
                <a:srgbClr val="0070C0"/>
              </a:solidFill>
            </a:ln>
          </c:spPr>
          <c:marker>
            <c:symbol val="none"/>
          </c:marker>
          <c:cat>
            <c:numRef>
              <c:f>'Wage, price statistics'!$DB$8:$DB$74</c:f>
              <c:numCache>
                <c:formatCode>mmm\-yy</c:formatCode>
                <c:ptCount val="67"/>
                <c:pt idx="0">
                  <c:v>37408</c:v>
                </c:pt>
                <c:pt idx="1">
                  <c:v>37500</c:v>
                </c:pt>
                <c:pt idx="2">
                  <c:v>37591</c:v>
                </c:pt>
                <c:pt idx="3">
                  <c:v>37681</c:v>
                </c:pt>
                <c:pt idx="4">
                  <c:v>37773</c:v>
                </c:pt>
                <c:pt idx="5">
                  <c:v>37865</c:v>
                </c:pt>
                <c:pt idx="6">
                  <c:v>37956</c:v>
                </c:pt>
                <c:pt idx="7">
                  <c:v>38047</c:v>
                </c:pt>
                <c:pt idx="8">
                  <c:v>38139</c:v>
                </c:pt>
                <c:pt idx="9">
                  <c:v>38231</c:v>
                </c:pt>
                <c:pt idx="10">
                  <c:v>38322</c:v>
                </c:pt>
                <c:pt idx="11">
                  <c:v>38412</c:v>
                </c:pt>
                <c:pt idx="12">
                  <c:v>38504</c:v>
                </c:pt>
                <c:pt idx="13">
                  <c:v>38596</c:v>
                </c:pt>
                <c:pt idx="14">
                  <c:v>38687</c:v>
                </c:pt>
                <c:pt idx="15">
                  <c:v>38777</c:v>
                </c:pt>
                <c:pt idx="16">
                  <c:v>38869</c:v>
                </c:pt>
                <c:pt idx="17">
                  <c:v>38961</c:v>
                </c:pt>
                <c:pt idx="18">
                  <c:v>39052</c:v>
                </c:pt>
                <c:pt idx="19">
                  <c:v>39142</c:v>
                </c:pt>
                <c:pt idx="20">
                  <c:v>39234</c:v>
                </c:pt>
                <c:pt idx="21">
                  <c:v>39326</c:v>
                </c:pt>
                <c:pt idx="22">
                  <c:v>39417</c:v>
                </c:pt>
                <c:pt idx="23">
                  <c:v>39508</c:v>
                </c:pt>
                <c:pt idx="24">
                  <c:v>39600</c:v>
                </c:pt>
                <c:pt idx="25">
                  <c:v>39692</c:v>
                </c:pt>
                <c:pt idx="26">
                  <c:v>39783</c:v>
                </c:pt>
                <c:pt idx="27">
                  <c:v>39873</c:v>
                </c:pt>
                <c:pt idx="28">
                  <c:v>39965</c:v>
                </c:pt>
                <c:pt idx="29">
                  <c:v>40057</c:v>
                </c:pt>
                <c:pt idx="30">
                  <c:v>40148</c:v>
                </c:pt>
                <c:pt idx="31">
                  <c:v>40238</c:v>
                </c:pt>
                <c:pt idx="32">
                  <c:v>40330</c:v>
                </c:pt>
                <c:pt idx="33">
                  <c:v>40422</c:v>
                </c:pt>
                <c:pt idx="34">
                  <c:v>40513</c:v>
                </c:pt>
                <c:pt idx="35">
                  <c:v>40603</c:v>
                </c:pt>
                <c:pt idx="36">
                  <c:v>40695</c:v>
                </c:pt>
                <c:pt idx="37">
                  <c:v>40787</c:v>
                </c:pt>
                <c:pt idx="38">
                  <c:v>40878</c:v>
                </c:pt>
                <c:pt idx="39">
                  <c:v>40969</c:v>
                </c:pt>
                <c:pt idx="40">
                  <c:v>41061</c:v>
                </c:pt>
                <c:pt idx="41">
                  <c:v>41153</c:v>
                </c:pt>
                <c:pt idx="42">
                  <c:v>41244</c:v>
                </c:pt>
                <c:pt idx="43">
                  <c:v>41334</c:v>
                </c:pt>
                <c:pt idx="44">
                  <c:v>41426</c:v>
                </c:pt>
                <c:pt idx="45">
                  <c:v>41518</c:v>
                </c:pt>
                <c:pt idx="46">
                  <c:v>41609</c:v>
                </c:pt>
                <c:pt idx="47">
                  <c:v>41699</c:v>
                </c:pt>
                <c:pt idx="48">
                  <c:v>41791</c:v>
                </c:pt>
                <c:pt idx="49">
                  <c:v>41883</c:v>
                </c:pt>
                <c:pt idx="50">
                  <c:v>41974</c:v>
                </c:pt>
                <c:pt idx="51">
                  <c:v>42064</c:v>
                </c:pt>
                <c:pt idx="52">
                  <c:v>42156</c:v>
                </c:pt>
                <c:pt idx="53">
                  <c:v>42248</c:v>
                </c:pt>
                <c:pt idx="54">
                  <c:v>42339</c:v>
                </c:pt>
                <c:pt idx="55">
                  <c:v>42430</c:v>
                </c:pt>
                <c:pt idx="56">
                  <c:v>42522</c:v>
                </c:pt>
                <c:pt idx="57">
                  <c:v>42614</c:v>
                </c:pt>
                <c:pt idx="58">
                  <c:v>42705</c:v>
                </c:pt>
                <c:pt idx="59">
                  <c:v>42795</c:v>
                </c:pt>
                <c:pt idx="60">
                  <c:v>42887</c:v>
                </c:pt>
                <c:pt idx="61">
                  <c:v>42979</c:v>
                </c:pt>
                <c:pt idx="62">
                  <c:v>43070</c:v>
                </c:pt>
                <c:pt idx="63">
                  <c:v>43160</c:v>
                </c:pt>
                <c:pt idx="64">
                  <c:v>43252</c:v>
                </c:pt>
                <c:pt idx="65">
                  <c:v>43344</c:v>
                </c:pt>
                <c:pt idx="66">
                  <c:v>43435</c:v>
                </c:pt>
              </c:numCache>
            </c:numRef>
          </c:cat>
          <c:val>
            <c:numRef>
              <c:f>'Wage, price statistics'!$DF$8:$DF$74</c:f>
              <c:numCache>
                <c:formatCode>0.0%</c:formatCode>
                <c:ptCount val="67"/>
                <c:pt idx="0">
                  <c:v>2.0999999999999908E-2</c:v>
                </c:pt>
                <c:pt idx="1">
                  <c:v>2.1868787276341894E-2</c:v>
                </c:pt>
                <c:pt idx="2">
                  <c:v>2.1760633036597365E-2</c:v>
                </c:pt>
                <c:pt idx="3">
                  <c:v>2.2637795275590511E-2</c:v>
                </c:pt>
                <c:pt idx="4">
                  <c:v>2.2526934378060748E-2</c:v>
                </c:pt>
                <c:pt idx="5">
                  <c:v>2.3346303501945442E-2</c:v>
                </c:pt>
                <c:pt idx="6">
                  <c:v>2.4201355275895509E-2</c:v>
                </c:pt>
                <c:pt idx="7">
                  <c:v>2.2136669874879722E-2</c:v>
                </c:pt>
                <c:pt idx="8">
                  <c:v>2.2988505747126409E-2</c:v>
                </c:pt>
                <c:pt idx="9">
                  <c:v>2.1863117870722482E-2</c:v>
                </c:pt>
                <c:pt idx="10">
                  <c:v>2.457466918714557E-2</c:v>
                </c:pt>
                <c:pt idx="11">
                  <c:v>2.5423728813559254E-2</c:v>
                </c:pt>
                <c:pt idx="12">
                  <c:v>2.7153558052434468E-2</c:v>
                </c:pt>
                <c:pt idx="13">
                  <c:v>3.0697674418604715E-2</c:v>
                </c:pt>
                <c:pt idx="14">
                  <c:v>3.0442804428044257E-2</c:v>
                </c:pt>
                <c:pt idx="15">
                  <c:v>3.2139577594123114E-2</c:v>
                </c:pt>
                <c:pt idx="16">
                  <c:v>3.0993618960802216E-2</c:v>
                </c:pt>
                <c:pt idx="17">
                  <c:v>3.1588447653429608E-2</c:v>
                </c:pt>
                <c:pt idx="18">
                  <c:v>3.2229185317815601E-2</c:v>
                </c:pt>
                <c:pt idx="19">
                  <c:v>3.2028469750889688E-2</c:v>
                </c:pt>
                <c:pt idx="20">
                  <c:v>3.2714412024756889E-2</c:v>
                </c:pt>
                <c:pt idx="21">
                  <c:v>3.0621172353455739E-2</c:v>
                </c:pt>
                <c:pt idx="22">
                  <c:v>3.2957502168256658E-2</c:v>
                </c:pt>
                <c:pt idx="23">
                  <c:v>3.4482758620689724E-2</c:v>
                </c:pt>
                <c:pt idx="24">
                  <c:v>3.5958904109589129E-2</c:v>
                </c:pt>
                <c:pt idx="25">
                  <c:v>3.9898132427843791E-2</c:v>
                </c:pt>
                <c:pt idx="26">
                  <c:v>3.5264483627204024E-2</c:v>
                </c:pt>
                <c:pt idx="27">
                  <c:v>3.3333333333333437E-2</c:v>
                </c:pt>
                <c:pt idx="28">
                  <c:v>2.8099173553719048E-2</c:v>
                </c:pt>
                <c:pt idx="29">
                  <c:v>2.0587755102040806E-2</c:v>
                </c:pt>
                <c:pt idx="30">
                  <c:v>1.8001622060016098E-2</c:v>
                </c:pt>
                <c:pt idx="31">
                  <c:v>1.5264516129032346E-2</c:v>
                </c:pt>
                <c:pt idx="32">
                  <c:v>1.6000000000000014E-2</c:v>
                </c:pt>
                <c:pt idx="33">
                  <c:v>1.5920398009950265E-2</c:v>
                </c:pt>
                <c:pt idx="34">
                  <c:v>1.6848364717542141E-2</c:v>
                </c:pt>
                <c:pt idx="35">
                  <c:v>1.8774703557312256E-2</c:v>
                </c:pt>
                <c:pt idx="36">
                  <c:v>1.870078740157477E-2</c:v>
                </c:pt>
                <c:pt idx="37">
                  <c:v>1.9588638589618013E-2</c:v>
                </c:pt>
                <c:pt idx="38">
                  <c:v>2.0467836257309857E-2</c:v>
                </c:pt>
                <c:pt idx="39">
                  <c:v>2.0368574199806089E-2</c:v>
                </c:pt>
                <c:pt idx="40">
                  <c:v>2.0289855072463725E-2</c:v>
                </c:pt>
                <c:pt idx="41">
                  <c:v>1.9212295869356577E-2</c:v>
                </c:pt>
                <c:pt idx="42">
                  <c:v>1.8147086914995114E-2</c:v>
                </c:pt>
                <c:pt idx="43">
                  <c:v>1.7110266159695575E-2</c:v>
                </c:pt>
                <c:pt idx="44">
                  <c:v>1.7045454545454586E-2</c:v>
                </c:pt>
                <c:pt idx="45">
                  <c:v>1.6965127238454336E-2</c:v>
                </c:pt>
                <c:pt idx="46">
                  <c:v>1.5947467166979257E-2</c:v>
                </c:pt>
                <c:pt idx="47">
                  <c:v>1.588785046728991E-2</c:v>
                </c:pt>
                <c:pt idx="48">
                  <c:v>1.6759776536312998E-2</c:v>
                </c:pt>
                <c:pt idx="49">
                  <c:v>1.5755329008340979E-2</c:v>
                </c:pt>
                <c:pt idx="50">
                  <c:v>1.7543859649122862E-2</c:v>
                </c:pt>
                <c:pt idx="51">
                  <c:v>1.6559337626494752E-2</c:v>
                </c:pt>
                <c:pt idx="52">
                  <c:v>1.6483516483516425E-2</c:v>
                </c:pt>
                <c:pt idx="53">
                  <c:v>1.642335766423364E-2</c:v>
                </c:pt>
                <c:pt idx="54">
                  <c:v>1.5426497277676976E-2</c:v>
                </c:pt>
                <c:pt idx="55">
                  <c:v>1.6289592760180938E-2</c:v>
                </c:pt>
                <c:pt idx="56">
                  <c:v>1.5315315315315381E-2</c:v>
                </c:pt>
                <c:pt idx="57">
                  <c:v>1.6157989228007263E-2</c:v>
                </c:pt>
                <c:pt idx="58">
                  <c:v>1.6085790884718509E-2</c:v>
                </c:pt>
                <c:pt idx="59">
                  <c:v>1.6028495102404339E-2</c:v>
                </c:pt>
                <c:pt idx="60">
                  <c:v>1.685891748003554E-2</c:v>
                </c:pt>
                <c:pt idx="61">
                  <c:v>1.8551236749116518E-2</c:v>
                </c:pt>
                <c:pt idx="62">
                  <c:v>1.846965699208436E-2</c:v>
                </c:pt>
                <c:pt idx="63">
                  <c:v>1.8404907975460238E-2</c:v>
                </c:pt>
                <c:pt idx="64">
                  <c:v>1.919720767888311E-2</c:v>
                </c:pt>
                <c:pt idx="65">
                  <c:v>1.8213356461404873E-2</c:v>
                </c:pt>
                <c:pt idx="66">
                  <c:v>1.8998272884283463E-2</c:v>
                </c:pt>
              </c:numCache>
            </c:numRef>
          </c:val>
          <c:smooth val="0"/>
        </c:ser>
        <c:ser>
          <c:idx val="0"/>
          <c:order val="2"/>
          <c:tx>
            <c:strRef>
              <c:f>'Wage, price statistics'!$DG$2</c:f>
              <c:strCache>
                <c:ptCount val="1"/>
                <c:pt idx="0">
                  <c:v>Health - public sector</c:v>
                </c:pt>
              </c:strCache>
            </c:strRef>
          </c:tx>
          <c:spPr>
            <a:ln w="38100">
              <a:solidFill>
                <a:schemeClr val="accent6"/>
              </a:solidFill>
            </a:ln>
          </c:spPr>
          <c:marker>
            <c:symbol val="none"/>
          </c:marker>
          <c:cat>
            <c:numRef>
              <c:f>'Wage, price statistics'!$DB$8:$DB$74</c:f>
              <c:numCache>
                <c:formatCode>mmm\-yy</c:formatCode>
                <c:ptCount val="67"/>
                <c:pt idx="0">
                  <c:v>37408</c:v>
                </c:pt>
                <c:pt idx="1">
                  <c:v>37500</c:v>
                </c:pt>
                <c:pt idx="2">
                  <c:v>37591</c:v>
                </c:pt>
                <c:pt idx="3">
                  <c:v>37681</c:v>
                </c:pt>
                <c:pt idx="4">
                  <c:v>37773</c:v>
                </c:pt>
                <c:pt idx="5">
                  <c:v>37865</c:v>
                </c:pt>
                <c:pt idx="6">
                  <c:v>37956</c:v>
                </c:pt>
                <c:pt idx="7">
                  <c:v>38047</c:v>
                </c:pt>
                <c:pt idx="8">
                  <c:v>38139</c:v>
                </c:pt>
                <c:pt idx="9">
                  <c:v>38231</c:v>
                </c:pt>
                <c:pt idx="10">
                  <c:v>38322</c:v>
                </c:pt>
                <c:pt idx="11">
                  <c:v>38412</c:v>
                </c:pt>
                <c:pt idx="12">
                  <c:v>38504</c:v>
                </c:pt>
                <c:pt idx="13">
                  <c:v>38596</c:v>
                </c:pt>
                <c:pt idx="14">
                  <c:v>38687</c:v>
                </c:pt>
                <c:pt idx="15">
                  <c:v>38777</c:v>
                </c:pt>
                <c:pt idx="16">
                  <c:v>38869</c:v>
                </c:pt>
                <c:pt idx="17">
                  <c:v>38961</c:v>
                </c:pt>
                <c:pt idx="18">
                  <c:v>39052</c:v>
                </c:pt>
                <c:pt idx="19">
                  <c:v>39142</c:v>
                </c:pt>
                <c:pt idx="20">
                  <c:v>39234</c:v>
                </c:pt>
                <c:pt idx="21">
                  <c:v>39326</c:v>
                </c:pt>
                <c:pt idx="22">
                  <c:v>39417</c:v>
                </c:pt>
                <c:pt idx="23">
                  <c:v>39508</c:v>
                </c:pt>
                <c:pt idx="24">
                  <c:v>39600</c:v>
                </c:pt>
                <c:pt idx="25">
                  <c:v>39692</c:v>
                </c:pt>
                <c:pt idx="26">
                  <c:v>39783</c:v>
                </c:pt>
                <c:pt idx="27">
                  <c:v>39873</c:v>
                </c:pt>
                <c:pt idx="28">
                  <c:v>39965</c:v>
                </c:pt>
                <c:pt idx="29">
                  <c:v>40057</c:v>
                </c:pt>
                <c:pt idx="30">
                  <c:v>40148</c:v>
                </c:pt>
                <c:pt idx="31">
                  <c:v>40238</c:v>
                </c:pt>
                <c:pt idx="32">
                  <c:v>40330</c:v>
                </c:pt>
                <c:pt idx="33">
                  <c:v>40422</c:v>
                </c:pt>
                <c:pt idx="34">
                  <c:v>40513</c:v>
                </c:pt>
                <c:pt idx="35">
                  <c:v>40603</c:v>
                </c:pt>
                <c:pt idx="36">
                  <c:v>40695</c:v>
                </c:pt>
                <c:pt idx="37">
                  <c:v>40787</c:v>
                </c:pt>
                <c:pt idx="38">
                  <c:v>40878</c:v>
                </c:pt>
                <c:pt idx="39">
                  <c:v>40969</c:v>
                </c:pt>
                <c:pt idx="40">
                  <c:v>41061</c:v>
                </c:pt>
                <c:pt idx="41">
                  <c:v>41153</c:v>
                </c:pt>
                <c:pt idx="42">
                  <c:v>41244</c:v>
                </c:pt>
                <c:pt idx="43">
                  <c:v>41334</c:v>
                </c:pt>
                <c:pt idx="44">
                  <c:v>41426</c:v>
                </c:pt>
                <c:pt idx="45">
                  <c:v>41518</c:v>
                </c:pt>
                <c:pt idx="46">
                  <c:v>41609</c:v>
                </c:pt>
                <c:pt idx="47">
                  <c:v>41699</c:v>
                </c:pt>
                <c:pt idx="48">
                  <c:v>41791</c:v>
                </c:pt>
                <c:pt idx="49">
                  <c:v>41883</c:v>
                </c:pt>
                <c:pt idx="50">
                  <c:v>41974</c:v>
                </c:pt>
                <c:pt idx="51">
                  <c:v>42064</c:v>
                </c:pt>
                <c:pt idx="52">
                  <c:v>42156</c:v>
                </c:pt>
                <c:pt idx="53">
                  <c:v>42248</c:v>
                </c:pt>
                <c:pt idx="54">
                  <c:v>42339</c:v>
                </c:pt>
                <c:pt idx="55">
                  <c:v>42430</c:v>
                </c:pt>
                <c:pt idx="56">
                  <c:v>42522</c:v>
                </c:pt>
                <c:pt idx="57">
                  <c:v>42614</c:v>
                </c:pt>
                <c:pt idx="58">
                  <c:v>42705</c:v>
                </c:pt>
                <c:pt idx="59">
                  <c:v>42795</c:v>
                </c:pt>
                <c:pt idx="60">
                  <c:v>42887</c:v>
                </c:pt>
                <c:pt idx="61">
                  <c:v>42979</c:v>
                </c:pt>
                <c:pt idx="62">
                  <c:v>43070</c:v>
                </c:pt>
                <c:pt idx="63">
                  <c:v>43160</c:v>
                </c:pt>
                <c:pt idx="64">
                  <c:v>43252</c:v>
                </c:pt>
                <c:pt idx="65">
                  <c:v>43344</c:v>
                </c:pt>
                <c:pt idx="66">
                  <c:v>43435</c:v>
                </c:pt>
              </c:numCache>
            </c:numRef>
          </c:cat>
          <c:val>
            <c:numRef>
              <c:f>'Wage, price statistics'!$DG$8:$DG$74</c:f>
              <c:numCache>
                <c:formatCode>0.0%</c:formatCode>
                <c:ptCount val="67"/>
                <c:pt idx="32">
                  <c:v>1.8000000000000016E-2</c:v>
                </c:pt>
                <c:pt idx="33">
                  <c:v>1.3902681231380276E-2</c:v>
                </c:pt>
                <c:pt idx="34">
                  <c:v>8.8757396449703485E-3</c:v>
                </c:pt>
                <c:pt idx="35">
                  <c:v>1.7699115044247815E-2</c:v>
                </c:pt>
                <c:pt idx="36">
                  <c:v>1.6699410609037235E-2</c:v>
                </c:pt>
                <c:pt idx="37">
                  <c:v>1.7629774730656189E-2</c:v>
                </c:pt>
                <c:pt idx="38">
                  <c:v>1.6617790811339184E-2</c:v>
                </c:pt>
                <c:pt idx="39">
                  <c:v>9.6618357487923134E-3</c:v>
                </c:pt>
                <c:pt idx="40">
                  <c:v>1.9323671497584627E-2</c:v>
                </c:pt>
                <c:pt idx="41">
                  <c:v>1.5399422521655382E-2</c:v>
                </c:pt>
                <c:pt idx="42">
                  <c:v>1.6346153846153788E-2</c:v>
                </c:pt>
                <c:pt idx="43">
                  <c:v>1.5311004784688942E-2</c:v>
                </c:pt>
                <c:pt idx="44">
                  <c:v>1.4218009478673022E-2</c:v>
                </c:pt>
                <c:pt idx="45">
                  <c:v>1.6113744075829439E-2</c:v>
                </c:pt>
                <c:pt idx="46">
                  <c:v>1.5137180700094621E-2</c:v>
                </c:pt>
                <c:pt idx="47">
                  <c:v>1.1310084825636224E-2</c:v>
                </c:pt>
                <c:pt idx="48">
                  <c:v>6.5420560747664336E-3</c:v>
                </c:pt>
                <c:pt idx="49">
                  <c:v>6.5298507462685507E-3</c:v>
                </c:pt>
                <c:pt idx="50">
                  <c:v>6.5237651444547406E-3</c:v>
                </c:pt>
                <c:pt idx="51">
                  <c:v>6.5237651444547406E-3</c:v>
                </c:pt>
                <c:pt idx="52">
                  <c:v>4.6425255338904403E-3</c:v>
                </c:pt>
                <c:pt idx="53">
                  <c:v>6.4874884151993051E-3</c:v>
                </c:pt>
                <c:pt idx="54">
                  <c:v>1.388888888888884E-2</c:v>
                </c:pt>
                <c:pt idx="55">
                  <c:v>1.7592592592592604E-2</c:v>
                </c:pt>
                <c:pt idx="56">
                  <c:v>1.6635859519408491E-2</c:v>
                </c:pt>
                <c:pt idx="57">
                  <c:v>2.1178637200736539E-2</c:v>
                </c:pt>
                <c:pt idx="58">
                  <c:v>1.8264840182648401E-2</c:v>
                </c:pt>
                <c:pt idx="59">
                  <c:v>1.5468607825295688E-2</c:v>
                </c:pt>
                <c:pt idx="60">
                  <c:v>1.7272727272727328E-2</c:v>
                </c:pt>
                <c:pt idx="61">
                  <c:v>9.0171325518484391E-3</c:v>
                </c:pt>
                <c:pt idx="62">
                  <c:v>8.9686098654708779E-3</c:v>
                </c:pt>
                <c:pt idx="63">
                  <c:v>9.8566308243728251E-3</c:v>
                </c:pt>
                <c:pt idx="64">
                  <c:v>8.936550491510209E-3</c:v>
                </c:pt>
                <c:pt idx="65">
                  <c:v>1.9660411081322549E-2</c:v>
                </c:pt>
                <c:pt idx="66">
                  <c:v>2.7555555555555555E-2</c:v>
                </c:pt>
              </c:numCache>
            </c:numRef>
          </c:val>
          <c:smooth val="0"/>
        </c:ser>
        <c:dLbls>
          <c:showLegendKey val="0"/>
          <c:showVal val="0"/>
          <c:showCatName val="0"/>
          <c:showSerName val="0"/>
          <c:showPercent val="0"/>
          <c:showBubbleSize val="0"/>
        </c:dLbls>
        <c:smooth val="0"/>
        <c:axId val="777568272"/>
        <c:axId val="777568664"/>
      </c:lineChart>
      <c:dateAx>
        <c:axId val="777568272"/>
        <c:scaling>
          <c:orientation val="minMax"/>
        </c:scaling>
        <c:delete val="0"/>
        <c:axPos val="b"/>
        <c:numFmt formatCode="yyyy"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77568664"/>
        <c:crosses val="autoZero"/>
        <c:auto val="1"/>
        <c:lblOffset val="100"/>
        <c:baseTimeUnit val="months"/>
        <c:majorUnit val="12"/>
        <c:majorTimeUnit val="months"/>
      </c:dateAx>
      <c:valAx>
        <c:axId val="777568664"/>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77568272"/>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NZ"/>
              <a:t>Annual wage increase</a:t>
            </a:r>
          </a:p>
        </c:rich>
      </c:tx>
      <c:overlay val="0"/>
    </c:title>
    <c:autoTitleDeleted val="0"/>
    <c:plotArea>
      <c:layout/>
      <c:lineChart>
        <c:grouping val="standard"/>
        <c:varyColors val="0"/>
        <c:ser>
          <c:idx val="0"/>
          <c:order val="0"/>
          <c:tx>
            <c:v>Health - average wage</c:v>
          </c:tx>
          <c:spPr>
            <a:ln>
              <a:solidFill>
                <a:srgbClr val="C00000"/>
              </a:solidFill>
            </a:ln>
          </c:spPr>
          <c:marker>
            <c:symbol val="none"/>
          </c:marker>
          <c:cat>
            <c:numRef>
              <c:f>'Wage, price statistics'!$DM$57:$DM$112</c:f>
              <c:numCache>
                <c:formatCode>mmm\-yy</c:formatCode>
                <c:ptCount val="56"/>
                <c:pt idx="0">
                  <c:v>37408</c:v>
                </c:pt>
                <c:pt idx="1">
                  <c:v>37500</c:v>
                </c:pt>
                <c:pt idx="2">
                  <c:v>37591</c:v>
                </c:pt>
                <c:pt idx="3">
                  <c:v>37681</c:v>
                </c:pt>
                <c:pt idx="4">
                  <c:v>37773</c:v>
                </c:pt>
                <c:pt idx="5">
                  <c:v>37865</c:v>
                </c:pt>
                <c:pt idx="6">
                  <c:v>37956</c:v>
                </c:pt>
                <c:pt idx="7">
                  <c:v>38047</c:v>
                </c:pt>
                <c:pt idx="8">
                  <c:v>38139</c:v>
                </c:pt>
                <c:pt idx="9">
                  <c:v>38231</c:v>
                </c:pt>
                <c:pt idx="10">
                  <c:v>38322</c:v>
                </c:pt>
                <c:pt idx="11">
                  <c:v>38412</c:v>
                </c:pt>
                <c:pt idx="12">
                  <c:v>38504</c:v>
                </c:pt>
                <c:pt idx="13">
                  <c:v>38596</c:v>
                </c:pt>
                <c:pt idx="14">
                  <c:v>38687</c:v>
                </c:pt>
                <c:pt idx="15">
                  <c:v>38777</c:v>
                </c:pt>
                <c:pt idx="16">
                  <c:v>38869</c:v>
                </c:pt>
                <c:pt idx="17">
                  <c:v>38961</c:v>
                </c:pt>
                <c:pt idx="18">
                  <c:v>39052</c:v>
                </c:pt>
                <c:pt idx="19">
                  <c:v>39142</c:v>
                </c:pt>
                <c:pt idx="20">
                  <c:v>39234</c:v>
                </c:pt>
                <c:pt idx="21">
                  <c:v>39326</c:v>
                </c:pt>
                <c:pt idx="22">
                  <c:v>39417</c:v>
                </c:pt>
                <c:pt idx="23">
                  <c:v>39508</c:v>
                </c:pt>
                <c:pt idx="24">
                  <c:v>39600</c:v>
                </c:pt>
                <c:pt idx="25">
                  <c:v>39692</c:v>
                </c:pt>
                <c:pt idx="26">
                  <c:v>39783</c:v>
                </c:pt>
                <c:pt idx="27">
                  <c:v>39873</c:v>
                </c:pt>
                <c:pt idx="28">
                  <c:v>39965</c:v>
                </c:pt>
                <c:pt idx="29">
                  <c:v>40057</c:v>
                </c:pt>
                <c:pt idx="30">
                  <c:v>40148</c:v>
                </c:pt>
                <c:pt idx="31">
                  <c:v>40238</c:v>
                </c:pt>
                <c:pt idx="32">
                  <c:v>40330</c:v>
                </c:pt>
                <c:pt idx="33">
                  <c:v>40422</c:v>
                </c:pt>
                <c:pt idx="34">
                  <c:v>40513</c:v>
                </c:pt>
                <c:pt idx="35">
                  <c:v>40603</c:v>
                </c:pt>
                <c:pt idx="36">
                  <c:v>40695</c:v>
                </c:pt>
                <c:pt idx="37">
                  <c:v>40787</c:v>
                </c:pt>
                <c:pt idx="38">
                  <c:v>40878</c:v>
                </c:pt>
                <c:pt idx="39">
                  <c:v>40969</c:v>
                </c:pt>
                <c:pt idx="40">
                  <c:v>41061</c:v>
                </c:pt>
                <c:pt idx="41">
                  <c:v>41153</c:v>
                </c:pt>
                <c:pt idx="42">
                  <c:v>41244</c:v>
                </c:pt>
                <c:pt idx="43">
                  <c:v>41334</c:v>
                </c:pt>
                <c:pt idx="44">
                  <c:v>41426</c:v>
                </c:pt>
                <c:pt idx="45">
                  <c:v>41518</c:v>
                </c:pt>
                <c:pt idx="46">
                  <c:v>41609</c:v>
                </c:pt>
                <c:pt idx="47">
                  <c:v>41699</c:v>
                </c:pt>
                <c:pt idx="48">
                  <c:v>41791</c:v>
                </c:pt>
                <c:pt idx="49">
                  <c:v>41883</c:v>
                </c:pt>
                <c:pt idx="50">
                  <c:v>41974</c:v>
                </c:pt>
                <c:pt idx="51">
                  <c:v>42064</c:v>
                </c:pt>
                <c:pt idx="52">
                  <c:v>42156</c:v>
                </c:pt>
                <c:pt idx="53">
                  <c:v>42248</c:v>
                </c:pt>
                <c:pt idx="54">
                  <c:v>42339</c:v>
                </c:pt>
                <c:pt idx="55">
                  <c:v>42430</c:v>
                </c:pt>
              </c:numCache>
            </c:numRef>
          </c:cat>
          <c:val>
            <c:numRef>
              <c:f>'Wage, price statistics'!$DP$57:$DP$112</c:f>
              <c:numCache>
                <c:formatCode>0.0%</c:formatCode>
                <c:ptCount val="56"/>
                <c:pt idx="0">
                  <c:v>2.8945931185144769E-2</c:v>
                </c:pt>
                <c:pt idx="1">
                  <c:v>1.540913921360243E-2</c:v>
                </c:pt>
                <c:pt idx="2">
                  <c:v>3.8069705093833894E-2</c:v>
                </c:pt>
                <c:pt idx="3">
                  <c:v>2.7983104540654669E-2</c:v>
                </c:pt>
                <c:pt idx="4">
                  <c:v>3.2377919320594417E-2</c:v>
                </c:pt>
                <c:pt idx="5">
                  <c:v>3.2443746729461154E-2</c:v>
                </c:pt>
                <c:pt idx="6">
                  <c:v>5.2685950413223104E-2</c:v>
                </c:pt>
                <c:pt idx="7">
                  <c:v>3.2357473035439233E-2</c:v>
                </c:pt>
                <c:pt idx="8">
                  <c:v>4.7814910025707036E-2</c:v>
                </c:pt>
                <c:pt idx="9">
                  <c:v>5.0684237202230031E-2</c:v>
                </c:pt>
                <c:pt idx="10">
                  <c:v>2.3552502453385804E-2</c:v>
                </c:pt>
                <c:pt idx="11">
                  <c:v>5.3233830845771157E-2</c:v>
                </c:pt>
                <c:pt idx="12">
                  <c:v>6.084396467124642E-2</c:v>
                </c:pt>
                <c:pt idx="13">
                  <c:v>5.5957549445248445E-2</c:v>
                </c:pt>
                <c:pt idx="14">
                  <c:v>6.5196548418024802E-2</c:v>
                </c:pt>
                <c:pt idx="15">
                  <c:v>6.9437883797827116E-2</c:v>
                </c:pt>
                <c:pt idx="16">
                  <c:v>4.0703052728954692E-2</c:v>
                </c:pt>
                <c:pt idx="17">
                  <c:v>6.3956144358154443E-2</c:v>
                </c:pt>
                <c:pt idx="18">
                  <c:v>5.0855085508551001E-2</c:v>
                </c:pt>
                <c:pt idx="19">
                  <c:v>5.3886925795052942E-2</c:v>
                </c:pt>
                <c:pt idx="20">
                  <c:v>6.9333333333333247E-2</c:v>
                </c:pt>
                <c:pt idx="21">
                  <c:v>4.5942464577071629E-2</c:v>
                </c:pt>
                <c:pt idx="22">
                  <c:v>6.2098501070663836E-2</c:v>
                </c:pt>
                <c:pt idx="23">
                  <c:v>6.2866722548197806E-2</c:v>
                </c:pt>
                <c:pt idx="24">
                  <c:v>6.4006650041562807E-2</c:v>
                </c:pt>
                <c:pt idx="25">
                  <c:v>7.101806239737285E-2</c:v>
                </c:pt>
                <c:pt idx="26">
                  <c:v>6.8951612903225934E-2</c:v>
                </c:pt>
                <c:pt idx="27">
                  <c:v>5.1261829652996971E-2</c:v>
                </c:pt>
                <c:pt idx="28">
                  <c:v>5.1171874999999867E-2</c:v>
                </c:pt>
                <c:pt idx="29">
                  <c:v>2.2997316979685767E-2</c:v>
                </c:pt>
                <c:pt idx="30">
                  <c:v>2.5273481705016865E-2</c:v>
                </c:pt>
                <c:pt idx="31">
                  <c:v>2.1380345086271513E-2</c:v>
                </c:pt>
                <c:pt idx="32">
                  <c:v>3.7160906726119158E-4</c:v>
                </c:pt>
                <c:pt idx="33">
                  <c:v>1.7984263769202036E-2</c:v>
                </c:pt>
                <c:pt idx="34">
                  <c:v>8.8300220750552327E-3</c:v>
                </c:pt>
                <c:pt idx="35">
                  <c:v>2.4237972824091125E-2</c:v>
                </c:pt>
                <c:pt idx="36">
                  <c:v>4.1976225854383209E-2</c:v>
                </c:pt>
                <c:pt idx="37">
                  <c:v>2.1715126978284927E-2</c:v>
                </c:pt>
                <c:pt idx="38">
                  <c:v>2.881108679795763E-2</c:v>
                </c:pt>
                <c:pt idx="39">
                  <c:v>1.936177841520248E-2</c:v>
                </c:pt>
                <c:pt idx="40">
                  <c:v>2.3529411764705799E-2</c:v>
                </c:pt>
                <c:pt idx="41">
                  <c:v>1.7291066282420609E-2</c:v>
                </c:pt>
                <c:pt idx="42">
                  <c:v>7.7986529599431975E-3</c:v>
                </c:pt>
                <c:pt idx="43">
                  <c:v>-2.110446711220515E-3</c:v>
                </c:pt>
                <c:pt idx="44">
                  <c:v>-7.3145245559038674E-3</c:v>
                </c:pt>
                <c:pt idx="45">
                  <c:v>1.1331444759206777E-2</c:v>
                </c:pt>
                <c:pt idx="46">
                  <c:v>2.2863172704889134E-2</c:v>
                </c:pt>
                <c:pt idx="47">
                  <c:v>3.7363412054987721E-2</c:v>
                </c:pt>
                <c:pt idx="48">
                  <c:v>2.0701754385964888E-2</c:v>
                </c:pt>
                <c:pt idx="49">
                  <c:v>2.7661064425770432E-2</c:v>
                </c:pt>
                <c:pt idx="50">
                  <c:v>2.5447042640990514E-2</c:v>
                </c:pt>
                <c:pt idx="51">
                  <c:v>1.3251783893985847E-2</c:v>
                </c:pt>
                <c:pt idx="52">
                  <c:v>2.5782055689240302E-2</c:v>
                </c:pt>
                <c:pt idx="53">
                  <c:v>1.5672913117546816E-2</c:v>
                </c:pt>
                <c:pt idx="54">
                  <c:v>1.4755197853789426E-2</c:v>
                </c:pt>
                <c:pt idx="55">
                  <c:v>1.7773306505700859E-2</c:v>
                </c:pt>
              </c:numCache>
            </c:numRef>
          </c:val>
          <c:smooth val="0"/>
        </c:ser>
        <c:ser>
          <c:idx val="1"/>
          <c:order val="1"/>
          <c:tx>
            <c:v>All industries - average wage</c:v>
          </c:tx>
          <c:spPr>
            <a:ln>
              <a:solidFill>
                <a:srgbClr val="0070C0"/>
              </a:solidFill>
            </a:ln>
          </c:spPr>
          <c:marker>
            <c:symbol val="none"/>
          </c:marker>
          <c:cat>
            <c:numRef>
              <c:f>'Wage, price statistics'!$DM$57:$DM$112</c:f>
              <c:numCache>
                <c:formatCode>mmm\-yy</c:formatCode>
                <c:ptCount val="56"/>
                <c:pt idx="0">
                  <c:v>37408</c:v>
                </c:pt>
                <c:pt idx="1">
                  <c:v>37500</c:v>
                </c:pt>
                <c:pt idx="2">
                  <c:v>37591</c:v>
                </c:pt>
                <c:pt idx="3">
                  <c:v>37681</c:v>
                </c:pt>
                <c:pt idx="4">
                  <c:v>37773</c:v>
                </c:pt>
                <c:pt idx="5">
                  <c:v>37865</c:v>
                </c:pt>
                <c:pt idx="6">
                  <c:v>37956</c:v>
                </c:pt>
                <c:pt idx="7">
                  <c:v>38047</c:v>
                </c:pt>
                <c:pt idx="8">
                  <c:v>38139</c:v>
                </c:pt>
                <c:pt idx="9">
                  <c:v>38231</c:v>
                </c:pt>
                <c:pt idx="10">
                  <c:v>38322</c:v>
                </c:pt>
                <c:pt idx="11">
                  <c:v>38412</c:v>
                </c:pt>
                <c:pt idx="12">
                  <c:v>38504</c:v>
                </c:pt>
                <c:pt idx="13">
                  <c:v>38596</c:v>
                </c:pt>
                <c:pt idx="14">
                  <c:v>38687</c:v>
                </c:pt>
                <c:pt idx="15">
                  <c:v>38777</c:v>
                </c:pt>
                <c:pt idx="16">
                  <c:v>38869</c:v>
                </c:pt>
                <c:pt idx="17">
                  <c:v>38961</c:v>
                </c:pt>
                <c:pt idx="18">
                  <c:v>39052</c:v>
                </c:pt>
                <c:pt idx="19">
                  <c:v>39142</c:v>
                </c:pt>
                <c:pt idx="20">
                  <c:v>39234</c:v>
                </c:pt>
                <c:pt idx="21">
                  <c:v>39326</c:v>
                </c:pt>
                <c:pt idx="22">
                  <c:v>39417</c:v>
                </c:pt>
                <c:pt idx="23">
                  <c:v>39508</c:v>
                </c:pt>
                <c:pt idx="24">
                  <c:v>39600</c:v>
                </c:pt>
                <c:pt idx="25">
                  <c:v>39692</c:v>
                </c:pt>
                <c:pt idx="26">
                  <c:v>39783</c:v>
                </c:pt>
                <c:pt idx="27">
                  <c:v>39873</c:v>
                </c:pt>
                <c:pt idx="28">
                  <c:v>39965</c:v>
                </c:pt>
                <c:pt idx="29">
                  <c:v>40057</c:v>
                </c:pt>
                <c:pt idx="30">
                  <c:v>40148</c:v>
                </c:pt>
                <c:pt idx="31">
                  <c:v>40238</c:v>
                </c:pt>
                <c:pt idx="32">
                  <c:v>40330</c:v>
                </c:pt>
                <c:pt idx="33">
                  <c:v>40422</c:v>
                </c:pt>
                <c:pt idx="34">
                  <c:v>40513</c:v>
                </c:pt>
                <c:pt idx="35">
                  <c:v>40603</c:v>
                </c:pt>
                <c:pt idx="36">
                  <c:v>40695</c:v>
                </c:pt>
                <c:pt idx="37">
                  <c:v>40787</c:v>
                </c:pt>
                <c:pt idx="38">
                  <c:v>40878</c:v>
                </c:pt>
                <c:pt idx="39">
                  <c:v>40969</c:v>
                </c:pt>
                <c:pt idx="40">
                  <c:v>41061</c:v>
                </c:pt>
                <c:pt idx="41">
                  <c:v>41153</c:v>
                </c:pt>
                <c:pt idx="42">
                  <c:v>41244</c:v>
                </c:pt>
                <c:pt idx="43">
                  <c:v>41334</c:v>
                </c:pt>
                <c:pt idx="44">
                  <c:v>41426</c:v>
                </c:pt>
                <c:pt idx="45">
                  <c:v>41518</c:v>
                </c:pt>
                <c:pt idx="46">
                  <c:v>41609</c:v>
                </c:pt>
                <c:pt idx="47">
                  <c:v>41699</c:v>
                </c:pt>
                <c:pt idx="48">
                  <c:v>41791</c:v>
                </c:pt>
                <c:pt idx="49">
                  <c:v>41883</c:v>
                </c:pt>
                <c:pt idx="50">
                  <c:v>41974</c:v>
                </c:pt>
                <c:pt idx="51">
                  <c:v>42064</c:v>
                </c:pt>
                <c:pt idx="52">
                  <c:v>42156</c:v>
                </c:pt>
                <c:pt idx="53">
                  <c:v>42248</c:v>
                </c:pt>
                <c:pt idx="54">
                  <c:v>42339</c:v>
                </c:pt>
                <c:pt idx="55">
                  <c:v>42430</c:v>
                </c:pt>
              </c:numCache>
            </c:numRef>
          </c:cat>
          <c:val>
            <c:numRef>
              <c:f>'Wage, price statistics'!$DQ$57:$DQ$112</c:f>
              <c:numCache>
                <c:formatCode>0.0%</c:formatCode>
                <c:ptCount val="56"/>
                <c:pt idx="0">
                  <c:v>2.3510114816839733E-2</c:v>
                </c:pt>
                <c:pt idx="1">
                  <c:v>3.0827474310438197E-2</c:v>
                </c:pt>
                <c:pt idx="2">
                  <c:v>3.6157582298974589E-2</c:v>
                </c:pt>
                <c:pt idx="3">
                  <c:v>2.3441662226957982E-2</c:v>
                </c:pt>
                <c:pt idx="4">
                  <c:v>3.7393162393162482E-2</c:v>
                </c:pt>
                <c:pt idx="5">
                  <c:v>3.0954879328436435E-2</c:v>
                </c:pt>
                <c:pt idx="6">
                  <c:v>3.3333333333333437E-2</c:v>
                </c:pt>
                <c:pt idx="7">
                  <c:v>3.3836543466944313E-2</c:v>
                </c:pt>
                <c:pt idx="8">
                  <c:v>4.5314109165808469E-2</c:v>
                </c:pt>
                <c:pt idx="9">
                  <c:v>3.5114503816793929E-2</c:v>
                </c:pt>
                <c:pt idx="10">
                  <c:v>2.2177419354838745E-2</c:v>
                </c:pt>
                <c:pt idx="11">
                  <c:v>3.6757301107754214E-2</c:v>
                </c:pt>
                <c:pt idx="12">
                  <c:v>3.4975369458128069E-2</c:v>
                </c:pt>
                <c:pt idx="13">
                  <c:v>4.2772861356932257E-2</c:v>
                </c:pt>
                <c:pt idx="14">
                  <c:v>5.4733727810650779E-2</c:v>
                </c:pt>
                <c:pt idx="15">
                  <c:v>5.2938319572608084E-2</c:v>
                </c:pt>
                <c:pt idx="16">
                  <c:v>4.474059971442168E-2</c:v>
                </c:pt>
                <c:pt idx="17">
                  <c:v>5.1390853371051426E-2</c:v>
                </c:pt>
                <c:pt idx="18">
                  <c:v>5.0490883590462721E-2</c:v>
                </c:pt>
                <c:pt idx="19">
                  <c:v>4.7047970479704881E-2</c:v>
                </c:pt>
                <c:pt idx="20">
                  <c:v>4.2824601366742598E-2</c:v>
                </c:pt>
                <c:pt idx="21">
                  <c:v>3.9910313901345251E-2</c:v>
                </c:pt>
                <c:pt idx="22">
                  <c:v>4.1388518024032095E-2</c:v>
                </c:pt>
                <c:pt idx="23">
                  <c:v>4.6255506607929542E-2</c:v>
                </c:pt>
                <c:pt idx="24">
                  <c:v>5.2861511577107834E-2</c:v>
                </c:pt>
                <c:pt idx="25">
                  <c:v>5.5627425614488857E-2</c:v>
                </c:pt>
                <c:pt idx="26">
                  <c:v>5.5982905982906006E-2</c:v>
                </c:pt>
                <c:pt idx="27">
                  <c:v>5.3894736842105218E-2</c:v>
                </c:pt>
                <c:pt idx="28">
                  <c:v>4.6058091286307112E-2</c:v>
                </c:pt>
                <c:pt idx="29">
                  <c:v>3.8807189542483522E-2</c:v>
                </c:pt>
                <c:pt idx="30">
                  <c:v>2.7519222986644998E-2</c:v>
                </c:pt>
                <c:pt idx="31">
                  <c:v>1.0787055533360013E-2</c:v>
                </c:pt>
                <c:pt idx="32">
                  <c:v>1.1106703689012232E-2</c:v>
                </c:pt>
                <c:pt idx="33">
                  <c:v>1.2583562721195429E-2</c:v>
                </c:pt>
                <c:pt idx="34">
                  <c:v>1.8511224891689659E-2</c:v>
                </c:pt>
                <c:pt idx="35">
                  <c:v>2.6086956521739202E-2</c:v>
                </c:pt>
                <c:pt idx="36">
                  <c:v>3.0600235386426089E-2</c:v>
                </c:pt>
                <c:pt idx="37">
                  <c:v>3.223300970873777E-2</c:v>
                </c:pt>
                <c:pt idx="38">
                  <c:v>2.8228924980665093E-2</c:v>
                </c:pt>
                <c:pt idx="39">
                  <c:v>3.8520801232665658E-2</c:v>
                </c:pt>
                <c:pt idx="40">
                  <c:v>2.7788351732013661E-2</c:v>
                </c:pt>
                <c:pt idx="41">
                  <c:v>2.7464258841233935E-2</c:v>
                </c:pt>
                <c:pt idx="42">
                  <c:v>2.6701767581797764E-2</c:v>
                </c:pt>
                <c:pt idx="43">
                  <c:v>2.0771513353115667E-2</c:v>
                </c:pt>
                <c:pt idx="44">
                  <c:v>2.0370370370370372E-2</c:v>
                </c:pt>
                <c:pt idx="45">
                  <c:v>2.4899304284144996E-2</c:v>
                </c:pt>
                <c:pt idx="46">
                  <c:v>2.6739926739926645E-2</c:v>
                </c:pt>
                <c:pt idx="47">
                  <c:v>2.4709302325581328E-2</c:v>
                </c:pt>
                <c:pt idx="48">
                  <c:v>2.5408348457350183E-2</c:v>
                </c:pt>
                <c:pt idx="49">
                  <c:v>2.3937120400143064E-2</c:v>
                </c:pt>
                <c:pt idx="50">
                  <c:v>2.7113806635747251E-2</c:v>
                </c:pt>
                <c:pt idx="51">
                  <c:v>2.0567375886524797E-2</c:v>
                </c:pt>
                <c:pt idx="52">
                  <c:v>2.7964601769911557E-2</c:v>
                </c:pt>
                <c:pt idx="53">
                  <c:v>2.2679692951849129E-2</c:v>
                </c:pt>
                <c:pt idx="54">
                  <c:v>2.1535255296978084E-2</c:v>
                </c:pt>
                <c:pt idx="55">
                  <c:v>2.4322446143155041E-2</c:v>
                </c:pt>
              </c:numCache>
            </c:numRef>
          </c:val>
          <c:smooth val="0"/>
        </c:ser>
        <c:ser>
          <c:idx val="2"/>
          <c:order val="2"/>
          <c:tx>
            <c:v>Health - Labour Cost Index</c:v>
          </c:tx>
          <c:spPr>
            <a:ln>
              <a:solidFill>
                <a:srgbClr val="C00000"/>
              </a:solidFill>
              <a:prstDash val="sysDash"/>
            </a:ln>
          </c:spPr>
          <c:marker>
            <c:symbol val="none"/>
          </c:marker>
          <c:cat>
            <c:numRef>
              <c:f>'Wage, price statistics'!$DM$57:$DM$112</c:f>
              <c:numCache>
                <c:formatCode>mmm\-yy</c:formatCode>
                <c:ptCount val="56"/>
                <c:pt idx="0">
                  <c:v>37408</c:v>
                </c:pt>
                <c:pt idx="1">
                  <c:v>37500</c:v>
                </c:pt>
                <c:pt idx="2">
                  <c:v>37591</c:v>
                </c:pt>
                <c:pt idx="3">
                  <c:v>37681</c:v>
                </c:pt>
                <c:pt idx="4">
                  <c:v>37773</c:v>
                </c:pt>
                <c:pt idx="5">
                  <c:v>37865</c:v>
                </c:pt>
                <c:pt idx="6">
                  <c:v>37956</c:v>
                </c:pt>
                <c:pt idx="7">
                  <c:v>38047</c:v>
                </c:pt>
                <c:pt idx="8">
                  <c:v>38139</c:v>
                </c:pt>
                <c:pt idx="9">
                  <c:v>38231</c:v>
                </c:pt>
                <c:pt idx="10">
                  <c:v>38322</c:v>
                </c:pt>
                <c:pt idx="11">
                  <c:v>38412</c:v>
                </c:pt>
                <c:pt idx="12">
                  <c:v>38504</c:v>
                </c:pt>
                <c:pt idx="13">
                  <c:v>38596</c:v>
                </c:pt>
                <c:pt idx="14">
                  <c:v>38687</c:v>
                </c:pt>
                <c:pt idx="15">
                  <c:v>38777</c:v>
                </c:pt>
                <c:pt idx="16">
                  <c:v>38869</c:v>
                </c:pt>
                <c:pt idx="17">
                  <c:v>38961</c:v>
                </c:pt>
                <c:pt idx="18">
                  <c:v>39052</c:v>
                </c:pt>
                <c:pt idx="19">
                  <c:v>39142</c:v>
                </c:pt>
                <c:pt idx="20">
                  <c:v>39234</c:v>
                </c:pt>
                <c:pt idx="21">
                  <c:v>39326</c:v>
                </c:pt>
                <c:pt idx="22">
                  <c:v>39417</c:v>
                </c:pt>
                <c:pt idx="23">
                  <c:v>39508</c:v>
                </c:pt>
                <c:pt idx="24">
                  <c:v>39600</c:v>
                </c:pt>
                <c:pt idx="25">
                  <c:v>39692</c:v>
                </c:pt>
                <c:pt idx="26">
                  <c:v>39783</c:v>
                </c:pt>
                <c:pt idx="27">
                  <c:v>39873</c:v>
                </c:pt>
                <c:pt idx="28">
                  <c:v>39965</c:v>
                </c:pt>
                <c:pt idx="29">
                  <c:v>40057</c:v>
                </c:pt>
                <c:pt idx="30">
                  <c:v>40148</c:v>
                </c:pt>
                <c:pt idx="31">
                  <c:v>40238</c:v>
                </c:pt>
                <c:pt idx="32">
                  <c:v>40330</c:v>
                </c:pt>
                <c:pt idx="33">
                  <c:v>40422</c:v>
                </c:pt>
                <c:pt idx="34">
                  <c:v>40513</c:v>
                </c:pt>
                <c:pt idx="35">
                  <c:v>40603</c:v>
                </c:pt>
                <c:pt idx="36">
                  <c:v>40695</c:v>
                </c:pt>
                <c:pt idx="37">
                  <c:v>40787</c:v>
                </c:pt>
                <c:pt idx="38">
                  <c:v>40878</c:v>
                </c:pt>
                <c:pt idx="39">
                  <c:v>40969</c:v>
                </c:pt>
                <c:pt idx="40">
                  <c:v>41061</c:v>
                </c:pt>
                <c:pt idx="41">
                  <c:v>41153</c:v>
                </c:pt>
                <c:pt idx="42">
                  <c:v>41244</c:v>
                </c:pt>
                <c:pt idx="43">
                  <c:v>41334</c:v>
                </c:pt>
                <c:pt idx="44">
                  <c:v>41426</c:v>
                </c:pt>
                <c:pt idx="45">
                  <c:v>41518</c:v>
                </c:pt>
                <c:pt idx="46">
                  <c:v>41609</c:v>
                </c:pt>
                <c:pt idx="47">
                  <c:v>41699</c:v>
                </c:pt>
                <c:pt idx="48">
                  <c:v>41791</c:v>
                </c:pt>
                <c:pt idx="49">
                  <c:v>41883</c:v>
                </c:pt>
                <c:pt idx="50">
                  <c:v>41974</c:v>
                </c:pt>
                <c:pt idx="51">
                  <c:v>42064</c:v>
                </c:pt>
                <c:pt idx="52">
                  <c:v>42156</c:v>
                </c:pt>
                <c:pt idx="53">
                  <c:v>42248</c:v>
                </c:pt>
                <c:pt idx="54">
                  <c:v>42339</c:v>
                </c:pt>
                <c:pt idx="55">
                  <c:v>42430</c:v>
                </c:pt>
              </c:numCache>
            </c:numRef>
          </c:cat>
          <c:val>
            <c:numRef>
              <c:f>'Wage, price statistics'!$DE$8:$DE$63</c:f>
              <c:numCache>
                <c:formatCode>0.0%</c:formatCode>
                <c:ptCount val="56"/>
                <c:pt idx="0">
                  <c:v>2.6000000000000023E-2</c:v>
                </c:pt>
                <c:pt idx="1">
                  <c:v>2.6812313803376453E-2</c:v>
                </c:pt>
                <c:pt idx="2">
                  <c:v>2.5590551181102317E-2</c:v>
                </c:pt>
                <c:pt idx="3">
                  <c:v>2.6418786692759211E-2</c:v>
                </c:pt>
                <c:pt idx="4">
                  <c:v>2.7290448343080032E-2</c:v>
                </c:pt>
                <c:pt idx="5">
                  <c:v>2.9013539651837617E-2</c:v>
                </c:pt>
                <c:pt idx="6">
                  <c:v>2.5911708253358867E-2</c:v>
                </c:pt>
                <c:pt idx="7">
                  <c:v>2.5738798856053346E-2</c:v>
                </c:pt>
                <c:pt idx="8">
                  <c:v>2.8462998102466885E-2</c:v>
                </c:pt>
                <c:pt idx="9">
                  <c:v>2.6315789473684292E-2</c:v>
                </c:pt>
                <c:pt idx="10">
                  <c:v>2.7128157156220745E-2</c:v>
                </c:pt>
                <c:pt idx="11">
                  <c:v>2.7881040892193232E-2</c:v>
                </c:pt>
                <c:pt idx="12">
                  <c:v>3.7822878228782386E-2</c:v>
                </c:pt>
                <c:pt idx="13">
                  <c:v>4.2124542124542197E-2</c:v>
                </c:pt>
                <c:pt idx="14">
                  <c:v>4.644808743169393E-2</c:v>
                </c:pt>
                <c:pt idx="15">
                  <c:v>4.8824593128390603E-2</c:v>
                </c:pt>
                <c:pt idx="16">
                  <c:v>3.7333333333333441E-2</c:v>
                </c:pt>
                <c:pt idx="17">
                  <c:v>5.0966608084358489E-2</c:v>
                </c:pt>
                <c:pt idx="18">
                  <c:v>5.3089643167972156E-2</c:v>
                </c:pt>
                <c:pt idx="19">
                  <c:v>4.9137931034482829E-2</c:v>
                </c:pt>
                <c:pt idx="20">
                  <c:v>4.8843187660668308E-2</c:v>
                </c:pt>
                <c:pt idx="21">
                  <c:v>3.4280936454849531E-2</c:v>
                </c:pt>
                <c:pt idx="22">
                  <c:v>4.1322314049586861E-2</c:v>
                </c:pt>
                <c:pt idx="23">
                  <c:v>4.6014790468364763E-2</c:v>
                </c:pt>
                <c:pt idx="24">
                  <c:v>5.1470588235294157E-2</c:v>
                </c:pt>
                <c:pt idx="25">
                  <c:v>5.6588520614389681E-2</c:v>
                </c:pt>
                <c:pt idx="26">
                  <c:v>4.2857142857142927E-2</c:v>
                </c:pt>
                <c:pt idx="27">
                  <c:v>4.3990573448546844E-2</c:v>
                </c:pt>
                <c:pt idx="28">
                  <c:v>4.3512043512043519E-2</c:v>
                </c:pt>
                <c:pt idx="29">
                  <c:v>3.3709257842387208E-2</c:v>
                </c:pt>
                <c:pt idx="30">
                  <c:v>3.3312785388127875E-2</c:v>
                </c:pt>
                <c:pt idx="31">
                  <c:v>2.5692249811888557E-2</c:v>
                </c:pt>
                <c:pt idx="32">
                  <c:v>1.8000000000000016E-2</c:v>
                </c:pt>
                <c:pt idx="33">
                  <c:v>1.491053677932408E-2</c:v>
                </c:pt>
                <c:pt idx="34">
                  <c:v>1.3847675568744E-2</c:v>
                </c:pt>
                <c:pt idx="35">
                  <c:v>1.7733990147783318E-2</c:v>
                </c:pt>
                <c:pt idx="36">
                  <c:v>1.5717092337917515E-2</c:v>
                </c:pt>
                <c:pt idx="37">
                  <c:v>1.7629774730656189E-2</c:v>
                </c:pt>
                <c:pt idx="38">
                  <c:v>1.7560975609756113E-2</c:v>
                </c:pt>
                <c:pt idx="39">
                  <c:v>1.3552758954501476E-2</c:v>
                </c:pt>
                <c:pt idx="40">
                  <c:v>1.934235976789167E-2</c:v>
                </c:pt>
                <c:pt idx="41">
                  <c:v>1.7324350336862304E-2</c:v>
                </c:pt>
                <c:pt idx="42">
                  <c:v>1.6299137104506256E-2</c:v>
                </c:pt>
                <c:pt idx="43">
                  <c:v>1.6236867239732389E-2</c:v>
                </c:pt>
                <c:pt idx="44">
                  <c:v>1.6129032258064502E-2</c:v>
                </c:pt>
                <c:pt idx="45">
                  <c:v>1.6083254493850507E-2</c:v>
                </c:pt>
                <c:pt idx="46">
                  <c:v>1.6981132075471583E-2</c:v>
                </c:pt>
                <c:pt idx="47">
                  <c:v>1.4097744360902276E-2</c:v>
                </c:pt>
                <c:pt idx="48">
                  <c:v>1.1204481792717047E-2</c:v>
                </c:pt>
                <c:pt idx="49">
                  <c:v>1.1173184357541999E-2</c:v>
                </c:pt>
                <c:pt idx="50">
                  <c:v>9.27643784786647E-3</c:v>
                </c:pt>
                <c:pt idx="51">
                  <c:v>1.0194624652456019E-2</c:v>
                </c:pt>
                <c:pt idx="52">
                  <c:v>9.2336103416434945E-3</c:v>
                </c:pt>
                <c:pt idx="53">
                  <c:v>9.208103130755152E-3</c:v>
                </c:pt>
                <c:pt idx="54">
                  <c:v>1.2867647058823595E-2</c:v>
                </c:pt>
                <c:pt idx="55">
                  <c:v>1.5596330275229553E-2</c:v>
                </c:pt>
              </c:numCache>
            </c:numRef>
          </c:val>
          <c:smooth val="0"/>
        </c:ser>
        <c:ser>
          <c:idx val="3"/>
          <c:order val="3"/>
          <c:tx>
            <c:v>All Industries - Labour Cost Index</c:v>
          </c:tx>
          <c:spPr>
            <a:ln>
              <a:solidFill>
                <a:srgbClr val="0070C0"/>
              </a:solidFill>
              <a:prstDash val="sysDash"/>
            </a:ln>
          </c:spPr>
          <c:marker>
            <c:symbol val="none"/>
          </c:marker>
          <c:cat>
            <c:numRef>
              <c:f>'Wage, price statistics'!$DM$57:$DM$112</c:f>
              <c:numCache>
                <c:formatCode>mmm\-yy</c:formatCode>
                <c:ptCount val="56"/>
                <c:pt idx="0">
                  <c:v>37408</c:v>
                </c:pt>
                <c:pt idx="1">
                  <c:v>37500</c:v>
                </c:pt>
                <c:pt idx="2">
                  <c:v>37591</c:v>
                </c:pt>
                <c:pt idx="3">
                  <c:v>37681</c:v>
                </c:pt>
                <c:pt idx="4">
                  <c:v>37773</c:v>
                </c:pt>
                <c:pt idx="5">
                  <c:v>37865</c:v>
                </c:pt>
                <c:pt idx="6">
                  <c:v>37956</c:v>
                </c:pt>
                <c:pt idx="7">
                  <c:v>38047</c:v>
                </c:pt>
                <c:pt idx="8">
                  <c:v>38139</c:v>
                </c:pt>
                <c:pt idx="9">
                  <c:v>38231</c:v>
                </c:pt>
                <c:pt idx="10">
                  <c:v>38322</c:v>
                </c:pt>
                <c:pt idx="11">
                  <c:v>38412</c:v>
                </c:pt>
                <c:pt idx="12">
                  <c:v>38504</c:v>
                </c:pt>
                <c:pt idx="13">
                  <c:v>38596</c:v>
                </c:pt>
                <c:pt idx="14">
                  <c:v>38687</c:v>
                </c:pt>
                <c:pt idx="15">
                  <c:v>38777</c:v>
                </c:pt>
                <c:pt idx="16">
                  <c:v>38869</c:v>
                </c:pt>
                <c:pt idx="17">
                  <c:v>38961</c:v>
                </c:pt>
                <c:pt idx="18">
                  <c:v>39052</c:v>
                </c:pt>
                <c:pt idx="19">
                  <c:v>39142</c:v>
                </c:pt>
                <c:pt idx="20">
                  <c:v>39234</c:v>
                </c:pt>
                <c:pt idx="21">
                  <c:v>39326</c:v>
                </c:pt>
                <c:pt idx="22">
                  <c:v>39417</c:v>
                </c:pt>
                <c:pt idx="23">
                  <c:v>39508</c:v>
                </c:pt>
                <c:pt idx="24">
                  <c:v>39600</c:v>
                </c:pt>
                <c:pt idx="25">
                  <c:v>39692</c:v>
                </c:pt>
                <c:pt idx="26">
                  <c:v>39783</c:v>
                </c:pt>
                <c:pt idx="27">
                  <c:v>39873</c:v>
                </c:pt>
                <c:pt idx="28">
                  <c:v>39965</c:v>
                </c:pt>
                <c:pt idx="29">
                  <c:v>40057</c:v>
                </c:pt>
                <c:pt idx="30">
                  <c:v>40148</c:v>
                </c:pt>
                <c:pt idx="31">
                  <c:v>40238</c:v>
                </c:pt>
                <c:pt idx="32">
                  <c:v>40330</c:v>
                </c:pt>
                <c:pt idx="33">
                  <c:v>40422</c:v>
                </c:pt>
                <c:pt idx="34">
                  <c:v>40513</c:v>
                </c:pt>
                <c:pt idx="35">
                  <c:v>40603</c:v>
                </c:pt>
                <c:pt idx="36">
                  <c:v>40695</c:v>
                </c:pt>
                <c:pt idx="37">
                  <c:v>40787</c:v>
                </c:pt>
                <c:pt idx="38">
                  <c:v>40878</c:v>
                </c:pt>
                <c:pt idx="39">
                  <c:v>40969</c:v>
                </c:pt>
                <c:pt idx="40">
                  <c:v>41061</c:v>
                </c:pt>
                <c:pt idx="41">
                  <c:v>41153</c:v>
                </c:pt>
                <c:pt idx="42">
                  <c:v>41244</c:v>
                </c:pt>
                <c:pt idx="43">
                  <c:v>41334</c:v>
                </c:pt>
                <c:pt idx="44">
                  <c:v>41426</c:v>
                </c:pt>
                <c:pt idx="45">
                  <c:v>41518</c:v>
                </c:pt>
                <c:pt idx="46">
                  <c:v>41609</c:v>
                </c:pt>
                <c:pt idx="47">
                  <c:v>41699</c:v>
                </c:pt>
                <c:pt idx="48">
                  <c:v>41791</c:v>
                </c:pt>
                <c:pt idx="49">
                  <c:v>41883</c:v>
                </c:pt>
                <c:pt idx="50">
                  <c:v>41974</c:v>
                </c:pt>
                <c:pt idx="51">
                  <c:v>42064</c:v>
                </c:pt>
                <c:pt idx="52">
                  <c:v>42156</c:v>
                </c:pt>
                <c:pt idx="53">
                  <c:v>42248</c:v>
                </c:pt>
                <c:pt idx="54">
                  <c:v>42339</c:v>
                </c:pt>
                <c:pt idx="55">
                  <c:v>42430</c:v>
                </c:pt>
              </c:numCache>
            </c:numRef>
          </c:cat>
          <c:val>
            <c:numRef>
              <c:f>'Wage, price statistics'!$DF$8:$DF$63</c:f>
              <c:numCache>
                <c:formatCode>0.0%</c:formatCode>
                <c:ptCount val="56"/>
                <c:pt idx="0">
                  <c:v>2.0999999999999908E-2</c:v>
                </c:pt>
                <c:pt idx="1">
                  <c:v>2.1868787276341894E-2</c:v>
                </c:pt>
                <c:pt idx="2">
                  <c:v>2.1760633036597365E-2</c:v>
                </c:pt>
                <c:pt idx="3">
                  <c:v>2.2637795275590511E-2</c:v>
                </c:pt>
                <c:pt idx="4">
                  <c:v>2.2526934378060748E-2</c:v>
                </c:pt>
                <c:pt idx="5">
                  <c:v>2.3346303501945442E-2</c:v>
                </c:pt>
                <c:pt idx="6">
                  <c:v>2.4201355275895509E-2</c:v>
                </c:pt>
                <c:pt idx="7">
                  <c:v>2.2136669874879722E-2</c:v>
                </c:pt>
                <c:pt idx="8">
                  <c:v>2.2988505747126409E-2</c:v>
                </c:pt>
                <c:pt idx="9">
                  <c:v>2.1863117870722482E-2</c:v>
                </c:pt>
                <c:pt idx="10">
                  <c:v>2.457466918714557E-2</c:v>
                </c:pt>
                <c:pt idx="11">
                  <c:v>2.5423728813559254E-2</c:v>
                </c:pt>
                <c:pt idx="12">
                  <c:v>2.7153558052434468E-2</c:v>
                </c:pt>
                <c:pt idx="13">
                  <c:v>3.0697674418604715E-2</c:v>
                </c:pt>
                <c:pt idx="14">
                  <c:v>3.0442804428044257E-2</c:v>
                </c:pt>
                <c:pt idx="15">
                  <c:v>3.2139577594123114E-2</c:v>
                </c:pt>
                <c:pt idx="16">
                  <c:v>3.0993618960802216E-2</c:v>
                </c:pt>
                <c:pt idx="17">
                  <c:v>3.1588447653429608E-2</c:v>
                </c:pt>
                <c:pt idx="18">
                  <c:v>3.2229185317815601E-2</c:v>
                </c:pt>
                <c:pt idx="19">
                  <c:v>3.2028469750889688E-2</c:v>
                </c:pt>
                <c:pt idx="20">
                  <c:v>3.2714412024756889E-2</c:v>
                </c:pt>
                <c:pt idx="21">
                  <c:v>3.0621172353455739E-2</c:v>
                </c:pt>
                <c:pt idx="22">
                  <c:v>3.2957502168256658E-2</c:v>
                </c:pt>
                <c:pt idx="23">
                  <c:v>3.4482758620689724E-2</c:v>
                </c:pt>
                <c:pt idx="24">
                  <c:v>3.5958904109589129E-2</c:v>
                </c:pt>
                <c:pt idx="25">
                  <c:v>3.9898132427843791E-2</c:v>
                </c:pt>
                <c:pt idx="26">
                  <c:v>3.5264483627204024E-2</c:v>
                </c:pt>
                <c:pt idx="27">
                  <c:v>3.3333333333333437E-2</c:v>
                </c:pt>
                <c:pt idx="28">
                  <c:v>2.8099173553719048E-2</c:v>
                </c:pt>
                <c:pt idx="29">
                  <c:v>2.0587755102040806E-2</c:v>
                </c:pt>
                <c:pt idx="30">
                  <c:v>1.8001622060016098E-2</c:v>
                </c:pt>
                <c:pt idx="31">
                  <c:v>1.5264516129032346E-2</c:v>
                </c:pt>
                <c:pt idx="32">
                  <c:v>1.6000000000000014E-2</c:v>
                </c:pt>
                <c:pt idx="33">
                  <c:v>1.5920398009950265E-2</c:v>
                </c:pt>
                <c:pt idx="34">
                  <c:v>1.6848364717542141E-2</c:v>
                </c:pt>
                <c:pt idx="35">
                  <c:v>1.8774703557312256E-2</c:v>
                </c:pt>
                <c:pt idx="36">
                  <c:v>1.870078740157477E-2</c:v>
                </c:pt>
                <c:pt idx="37">
                  <c:v>1.9588638589618013E-2</c:v>
                </c:pt>
                <c:pt idx="38">
                  <c:v>2.0467836257309857E-2</c:v>
                </c:pt>
                <c:pt idx="39">
                  <c:v>2.0368574199806089E-2</c:v>
                </c:pt>
                <c:pt idx="40">
                  <c:v>2.0289855072463725E-2</c:v>
                </c:pt>
                <c:pt idx="41">
                  <c:v>1.9212295869356577E-2</c:v>
                </c:pt>
                <c:pt idx="42">
                  <c:v>1.8147086914995114E-2</c:v>
                </c:pt>
                <c:pt idx="43">
                  <c:v>1.7110266159695575E-2</c:v>
                </c:pt>
                <c:pt idx="44">
                  <c:v>1.7045454545454586E-2</c:v>
                </c:pt>
                <c:pt idx="45">
                  <c:v>1.6965127238454336E-2</c:v>
                </c:pt>
                <c:pt idx="46">
                  <c:v>1.5947467166979257E-2</c:v>
                </c:pt>
                <c:pt idx="47">
                  <c:v>1.588785046728991E-2</c:v>
                </c:pt>
                <c:pt idx="48">
                  <c:v>1.6759776536312998E-2</c:v>
                </c:pt>
                <c:pt idx="49">
                  <c:v>1.5755329008340979E-2</c:v>
                </c:pt>
                <c:pt idx="50">
                  <c:v>1.7543859649122862E-2</c:v>
                </c:pt>
                <c:pt idx="51">
                  <c:v>1.6559337626494752E-2</c:v>
                </c:pt>
                <c:pt idx="52">
                  <c:v>1.6483516483516425E-2</c:v>
                </c:pt>
                <c:pt idx="53">
                  <c:v>1.642335766423364E-2</c:v>
                </c:pt>
                <c:pt idx="54">
                  <c:v>1.5426497277676976E-2</c:v>
                </c:pt>
                <c:pt idx="55">
                  <c:v>1.6289592760180938E-2</c:v>
                </c:pt>
              </c:numCache>
            </c:numRef>
          </c:val>
          <c:smooth val="0"/>
        </c:ser>
        <c:dLbls>
          <c:showLegendKey val="0"/>
          <c:showVal val="0"/>
          <c:showCatName val="0"/>
          <c:showSerName val="0"/>
          <c:showPercent val="0"/>
          <c:showBubbleSize val="0"/>
        </c:dLbls>
        <c:smooth val="0"/>
        <c:axId val="788649984"/>
        <c:axId val="788650376"/>
      </c:lineChart>
      <c:dateAx>
        <c:axId val="788649984"/>
        <c:scaling>
          <c:orientation val="minMax"/>
        </c:scaling>
        <c:delete val="0"/>
        <c:axPos val="b"/>
        <c:numFmt formatCode="yyyy" sourceLinked="0"/>
        <c:majorTickMark val="out"/>
        <c:minorTickMark val="none"/>
        <c:tickLblPos val="low"/>
        <c:txPr>
          <a:bodyPr rot="-2700000" vert="horz"/>
          <a:lstStyle/>
          <a:p>
            <a:pPr>
              <a:defRPr sz="1000" b="0" i="0" u="none" strike="noStrike" baseline="0">
                <a:solidFill>
                  <a:srgbClr val="000000"/>
                </a:solidFill>
                <a:latin typeface="Calibri"/>
                <a:ea typeface="Calibri"/>
                <a:cs typeface="Calibri"/>
              </a:defRPr>
            </a:pPr>
            <a:endParaRPr lang="en-US"/>
          </a:p>
        </c:txPr>
        <c:crossAx val="788650376"/>
        <c:crosses val="autoZero"/>
        <c:auto val="1"/>
        <c:lblOffset val="100"/>
        <c:baseTimeUnit val="months"/>
        <c:majorUnit val="12"/>
        <c:majorTimeUnit val="months"/>
        <c:minorUnit val="9"/>
        <c:minorTimeUnit val="days"/>
      </c:dateAx>
      <c:valAx>
        <c:axId val="788650376"/>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88649984"/>
        <c:crosses val="autoZero"/>
        <c:crossBetween val="between"/>
      </c:valAx>
    </c:plotArea>
    <c:legend>
      <c:legendPos val="r"/>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NZ"/>
              <a:t>Average wages</a:t>
            </a:r>
          </a:p>
        </c:rich>
      </c:tx>
      <c:overlay val="0"/>
    </c:title>
    <c:autoTitleDeleted val="0"/>
    <c:plotArea>
      <c:layout/>
      <c:lineChart>
        <c:grouping val="standard"/>
        <c:varyColors val="0"/>
        <c:ser>
          <c:idx val="0"/>
          <c:order val="0"/>
          <c:tx>
            <c:strRef>
              <c:f>'Wage, price statistics'!$EY$2</c:f>
              <c:strCache>
                <c:ptCount val="1"/>
                <c:pt idx="0">
                  <c:v>Health Care and Social Assistance</c:v>
                </c:pt>
              </c:strCache>
            </c:strRef>
          </c:tx>
          <c:marker>
            <c:symbol val="none"/>
          </c:marker>
          <c:cat>
            <c:numRef>
              <c:f>'Wage, price statistics'!$EV$10:$EV$114</c:f>
              <c:numCache>
                <c:formatCode>mmm\-yy</c:formatCode>
                <c:ptCount val="105"/>
                <c:pt idx="0">
                  <c:v>33208</c:v>
                </c:pt>
                <c:pt idx="1">
                  <c:v>33298</c:v>
                </c:pt>
                <c:pt idx="2">
                  <c:v>33390</c:v>
                </c:pt>
                <c:pt idx="3">
                  <c:v>33482</c:v>
                </c:pt>
                <c:pt idx="4">
                  <c:v>33573</c:v>
                </c:pt>
                <c:pt idx="5">
                  <c:v>33664</c:v>
                </c:pt>
                <c:pt idx="6">
                  <c:v>33756</c:v>
                </c:pt>
                <c:pt idx="7">
                  <c:v>33848</c:v>
                </c:pt>
                <c:pt idx="8">
                  <c:v>33939</c:v>
                </c:pt>
                <c:pt idx="9">
                  <c:v>34029</c:v>
                </c:pt>
                <c:pt idx="10">
                  <c:v>34121</c:v>
                </c:pt>
                <c:pt idx="11">
                  <c:v>34213</c:v>
                </c:pt>
                <c:pt idx="12">
                  <c:v>34304</c:v>
                </c:pt>
                <c:pt idx="13">
                  <c:v>34394</c:v>
                </c:pt>
                <c:pt idx="14">
                  <c:v>34486</c:v>
                </c:pt>
                <c:pt idx="15">
                  <c:v>34578</c:v>
                </c:pt>
                <c:pt idx="16">
                  <c:v>34669</c:v>
                </c:pt>
                <c:pt idx="17">
                  <c:v>34759</c:v>
                </c:pt>
                <c:pt idx="18">
                  <c:v>34851</c:v>
                </c:pt>
                <c:pt idx="19">
                  <c:v>34943</c:v>
                </c:pt>
                <c:pt idx="20">
                  <c:v>35034</c:v>
                </c:pt>
                <c:pt idx="21">
                  <c:v>35125</c:v>
                </c:pt>
                <c:pt idx="22">
                  <c:v>35217</c:v>
                </c:pt>
                <c:pt idx="23">
                  <c:v>35309</c:v>
                </c:pt>
                <c:pt idx="24">
                  <c:v>35400</c:v>
                </c:pt>
                <c:pt idx="25">
                  <c:v>35490</c:v>
                </c:pt>
                <c:pt idx="26">
                  <c:v>35582</c:v>
                </c:pt>
                <c:pt idx="27">
                  <c:v>35674</c:v>
                </c:pt>
                <c:pt idx="28">
                  <c:v>35765</c:v>
                </c:pt>
                <c:pt idx="29">
                  <c:v>35855</c:v>
                </c:pt>
                <c:pt idx="30">
                  <c:v>35947</c:v>
                </c:pt>
                <c:pt idx="31">
                  <c:v>36039</c:v>
                </c:pt>
                <c:pt idx="32">
                  <c:v>36130</c:v>
                </c:pt>
                <c:pt idx="33">
                  <c:v>36220</c:v>
                </c:pt>
                <c:pt idx="34">
                  <c:v>36312</c:v>
                </c:pt>
                <c:pt idx="35">
                  <c:v>36404</c:v>
                </c:pt>
                <c:pt idx="36">
                  <c:v>36495</c:v>
                </c:pt>
                <c:pt idx="37">
                  <c:v>36586</c:v>
                </c:pt>
                <c:pt idx="38">
                  <c:v>36678</c:v>
                </c:pt>
                <c:pt idx="39">
                  <c:v>36770</c:v>
                </c:pt>
                <c:pt idx="40">
                  <c:v>36861</c:v>
                </c:pt>
                <c:pt idx="41">
                  <c:v>36951</c:v>
                </c:pt>
                <c:pt idx="42">
                  <c:v>37043</c:v>
                </c:pt>
                <c:pt idx="43">
                  <c:v>37135</c:v>
                </c:pt>
                <c:pt idx="44">
                  <c:v>37226</c:v>
                </c:pt>
                <c:pt idx="45">
                  <c:v>37316</c:v>
                </c:pt>
                <c:pt idx="46">
                  <c:v>37408</c:v>
                </c:pt>
                <c:pt idx="47">
                  <c:v>37500</c:v>
                </c:pt>
                <c:pt idx="48">
                  <c:v>37591</c:v>
                </c:pt>
                <c:pt idx="49">
                  <c:v>37681</c:v>
                </c:pt>
                <c:pt idx="50">
                  <c:v>37773</c:v>
                </c:pt>
                <c:pt idx="51">
                  <c:v>37865</c:v>
                </c:pt>
                <c:pt idx="52">
                  <c:v>37956</c:v>
                </c:pt>
                <c:pt idx="53">
                  <c:v>38047</c:v>
                </c:pt>
                <c:pt idx="54">
                  <c:v>38139</c:v>
                </c:pt>
                <c:pt idx="55">
                  <c:v>38231</c:v>
                </c:pt>
                <c:pt idx="56">
                  <c:v>38322</c:v>
                </c:pt>
                <c:pt idx="57">
                  <c:v>38412</c:v>
                </c:pt>
                <c:pt idx="58">
                  <c:v>38504</c:v>
                </c:pt>
                <c:pt idx="59">
                  <c:v>38596</c:v>
                </c:pt>
                <c:pt idx="60">
                  <c:v>38687</c:v>
                </c:pt>
                <c:pt idx="61">
                  <c:v>38777</c:v>
                </c:pt>
                <c:pt idx="62">
                  <c:v>38869</c:v>
                </c:pt>
                <c:pt idx="63">
                  <c:v>38961</c:v>
                </c:pt>
                <c:pt idx="64">
                  <c:v>39052</c:v>
                </c:pt>
                <c:pt idx="65">
                  <c:v>39142</c:v>
                </c:pt>
                <c:pt idx="66">
                  <c:v>39234</c:v>
                </c:pt>
                <c:pt idx="67">
                  <c:v>39326</c:v>
                </c:pt>
                <c:pt idx="68">
                  <c:v>39417</c:v>
                </c:pt>
                <c:pt idx="69">
                  <c:v>39508</c:v>
                </c:pt>
                <c:pt idx="70">
                  <c:v>39600</c:v>
                </c:pt>
                <c:pt idx="71">
                  <c:v>39692</c:v>
                </c:pt>
                <c:pt idx="72">
                  <c:v>39783</c:v>
                </c:pt>
                <c:pt idx="73">
                  <c:v>39873</c:v>
                </c:pt>
                <c:pt idx="74">
                  <c:v>39965</c:v>
                </c:pt>
                <c:pt idx="75">
                  <c:v>40057</c:v>
                </c:pt>
                <c:pt idx="76">
                  <c:v>40148</c:v>
                </c:pt>
                <c:pt idx="77">
                  <c:v>40238</c:v>
                </c:pt>
                <c:pt idx="78">
                  <c:v>40330</c:v>
                </c:pt>
                <c:pt idx="79">
                  <c:v>40422</c:v>
                </c:pt>
                <c:pt idx="80">
                  <c:v>40513</c:v>
                </c:pt>
                <c:pt idx="81">
                  <c:v>40603</c:v>
                </c:pt>
                <c:pt idx="82">
                  <c:v>40695</c:v>
                </c:pt>
                <c:pt idx="83">
                  <c:v>40787</c:v>
                </c:pt>
                <c:pt idx="84">
                  <c:v>40878</c:v>
                </c:pt>
                <c:pt idx="85">
                  <c:v>40969</c:v>
                </c:pt>
                <c:pt idx="86">
                  <c:v>41061</c:v>
                </c:pt>
                <c:pt idx="87">
                  <c:v>41153</c:v>
                </c:pt>
                <c:pt idx="88">
                  <c:v>41244</c:v>
                </c:pt>
                <c:pt idx="89">
                  <c:v>41334</c:v>
                </c:pt>
                <c:pt idx="90">
                  <c:v>41426</c:v>
                </c:pt>
                <c:pt idx="91">
                  <c:v>41518</c:v>
                </c:pt>
                <c:pt idx="92">
                  <c:v>41609</c:v>
                </c:pt>
                <c:pt idx="93">
                  <c:v>41699</c:v>
                </c:pt>
                <c:pt idx="94">
                  <c:v>41791</c:v>
                </c:pt>
                <c:pt idx="95">
                  <c:v>41883</c:v>
                </c:pt>
                <c:pt idx="96">
                  <c:v>41974</c:v>
                </c:pt>
                <c:pt idx="97">
                  <c:v>42064</c:v>
                </c:pt>
                <c:pt idx="98">
                  <c:v>42156</c:v>
                </c:pt>
                <c:pt idx="99">
                  <c:v>42248</c:v>
                </c:pt>
                <c:pt idx="100">
                  <c:v>42339</c:v>
                </c:pt>
                <c:pt idx="101">
                  <c:v>42430</c:v>
                </c:pt>
                <c:pt idx="102">
                  <c:v>42522</c:v>
                </c:pt>
                <c:pt idx="103">
                  <c:v>42614</c:v>
                </c:pt>
                <c:pt idx="104">
                  <c:v>42705</c:v>
                </c:pt>
              </c:numCache>
            </c:numRef>
          </c:cat>
          <c:val>
            <c:numRef>
              <c:f>'Wage, price statistics'!$EW$10:$EW$114</c:f>
              <c:numCache>
                <c:formatCode>0.00</c:formatCode>
                <c:ptCount val="105"/>
                <c:pt idx="0">
                  <c:v>14.526838555171731</c:v>
                </c:pt>
                <c:pt idx="1">
                  <c:v>14.741212395192726</c:v>
                </c:pt>
                <c:pt idx="2">
                  <c:v>14.82956069822575</c:v>
                </c:pt>
                <c:pt idx="3">
                  <c:v>14.985290166577109</c:v>
                </c:pt>
                <c:pt idx="4">
                  <c:v>15.061965453630723</c:v>
                </c:pt>
                <c:pt idx="5">
                  <c:v>15.148698010698061</c:v>
                </c:pt>
                <c:pt idx="6">
                  <c:v>15.229517824631468</c:v>
                </c:pt>
                <c:pt idx="7">
                  <c:v>15.260865910752861</c:v>
                </c:pt>
                <c:pt idx="8">
                  <c:v>15.337782375401591</c:v>
                </c:pt>
                <c:pt idx="9">
                  <c:v>15.305501172160557</c:v>
                </c:pt>
                <c:pt idx="10">
                  <c:v>15.340890226622957</c:v>
                </c:pt>
                <c:pt idx="11">
                  <c:v>15.356454848941466</c:v>
                </c:pt>
                <c:pt idx="12">
                  <c:v>15.337639032458135</c:v>
                </c:pt>
                <c:pt idx="13">
                  <c:v>15.374875161675863</c:v>
                </c:pt>
                <c:pt idx="14">
                  <c:v>15.398834149698418</c:v>
                </c:pt>
                <c:pt idx="15">
                  <c:v>15.348795689412521</c:v>
                </c:pt>
                <c:pt idx="16">
                  <c:v>15.485389468324621</c:v>
                </c:pt>
                <c:pt idx="17">
                  <c:v>15.555856578769653</c:v>
                </c:pt>
                <c:pt idx="18">
                  <c:v>15.646908264561656</c:v>
                </c:pt>
                <c:pt idx="19">
                  <c:v>15.881890516355643</c:v>
                </c:pt>
                <c:pt idx="20">
                  <c:v>16.005306608485778</c:v>
                </c:pt>
                <c:pt idx="21">
                  <c:v>16.135945215987725</c:v>
                </c:pt>
                <c:pt idx="22">
                  <c:v>16.30226268746679</c:v>
                </c:pt>
                <c:pt idx="23">
                  <c:v>16.438777191179586</c:v>
                </c:pt>
                <c:pt idx="24">
                  <c:v>16.551191038374892</c:v>
                </c:pt>
                <c:pt idx="25">
                  <c:v>16.707932637003633</c:v>
                </c:pt>
                <c:pt idx="26">
                  <c:v>16.865291621434917</c:v>
                </c:pt>
                <c:pt idx="27">
                  <c:v>17.062358606786873</c:v>
                </c:pt>
                <c:pt idx="28">
                  <c:v>17.211818067466279</c:v>
                </c:pt>
                <c:pt idx="29">
                  <c:v>17.318277953411595</c:v>
                </c:pt>
                <c:pt idx="30">
                  <c:v>17.419292944886752</c:v>
                </c:pt>
                <c:pt idx="31">
                  <c:v>17.46581524303917</c:v>
                </c:pt>
                <c:pt idx="32">
                  <c:v>17.564780484934087</c:v>
                </c:pt>
                <c:pt idx="33">
                  <c:v>17.653425446171561</c:v>
                </c:pt>
                <c:pt idx="34">
                  <c:v>17.682467853787625</c:v>
                </c:pt>
                <c:pt idx="35">
                  <c:v>17.791844357308452</c:v>
                </c:pt>
                <c:pt idx="36">
                  <c:v>17.834225962764602</c:v>
                </c:pt>
                <c:pt idx="37">
                  <c:v>17.886741184896017</c:v>
                </c:pt>
                <c:pt idx="38">
                  <c:v>17.924502914191695</c:v>
                </c:pt>
                <c:pt idx="39">
                  <c:v>17.908326571247382</c:v>
                </c:pt>
                <c:pt idx="40">
                  <c:v>17.929970593974794</c:v>
                </c:pt>
                <c:pt idx="41">
                  <c:v>17.99637904213418</c:v>
                </c:pt>
                <c:pt idx="42">
                  <c:v>18.133361552487628</c:v>
                </c:pt>
                <c:pt idx="43">
                  <c:v>18.372745490981963</c:v>
                </c:pt>
                <c:pt idx="44">
                  <c:v>18.528665098039216</c:v>
                </c:pt>
                <c:pt idx="45">
                  <c:v>18.682605512038741</c:v>
                </c:pt>
                <c:pt idx="46">
                  <c:v>18.812353462832707</c:v>
                </c:pt>
                <c:pt idx="47">
                  <c:v>18.884609799484494</c:v>
                </c:pt>
                <c:pt idx="48">
                  <c:v>19.065011430251467</c:v>
                </c:pt>
                <c:pt idx="49">
                  <c:v>19.198040392396866</c:v>
                </c:pt>
                <c:pt idx="50">
                  <c:v>19.349715735563596</c:v>
                </c:pt>
                <c:pt idx="51">
                  <c:v>19.50179546863486</c:v>
                </c:pt>
                <c:pt idx="52">
                  <c:v>19.757763721927127</c:v>
                </c:pt>
                <c:pt idx="53">
                  <c:v>19.917560846439017</c:v>
                </c:pt>
                <c:pt idx="54">
                  <c:v>20.152191823143731</c:v>
                </c:pt>
                <c:pt idx="55">
                  <c:v>20.39892180235686</c:v>
                </c:pt>
                <c:pt idx="56">
                  <c:v>20.519843691391269</c:v>
                </c:pt>
                <c:pt idx="57">
                  <c:v>20.787336583513433</c:v>
                </c:pt>
                <c:pt idx="58">
                  <c:v>21.1013913303869</c:v>
                </c:pt>
                <c:pt idx="59">
                  <c:v>21.391001944193434</c:v>
                </c:pt>
                <c:pt idx="60">
                  <c:v>21.731693404247228</c:v>
                </c:pt>
                <c:pt idx="61">
                  <c:v>22.095132779165297</c:v>
                </c:pt>
                <c:pt idx="62">
                  <c:v>22.315461279893807</c:v>
                </c:pt>
                <c:pt idx="63">
                  <c:v>22.665998009992602</c:v>
                </c:pt>
                <c:pt idx="64">
                  <c:v>22.950267768664741</c:v>
                </c:pt>
                <c:pt idx="65">
                  <c:v>23.256207804096579</c:v>
                </c:pt>
                <c:pt idx="66">
                  <c:v>23.641323991652555</c:v>
                </c:pt>
                <c:pt idx="67">
                  <c:v>23.906648781716235</c:v>
                </c:pt>
                <c:pt idx="68">
                  <c:v>24.269810642992763</c:v>
                </c:pt>
                <c:pt idx="69">
                  <c:v>24.649854073918842</c:v>
                </c:pt>
                <c:pt idx="70">
                  <c:v>25.03808181960499</c:v>
                </c:pt>
                <c:pt idx="71">
                  <c:v>25.473736778498019</c:v>
                </c:pt>
                <c:pt idx="72">
                  <c:v>25.897159937260163</c:v>
                </c:pt>
                <c:pt idx="73">
                  <c:v>26.22035459023342</c:v>
                </c:pt>
                <c:pt idx="74">
                  <c:v>26.542539894069755</c:v>
                </c:pt>
                <c:pt idx="75">
                  <c:v>26.691700064453286</c:v>
                </c:pt>
                <c:pt idx="76">
                  <c:v>26.859016630513377</c:v>
                </c:pt>
                <c:pt idx="77">
                  <c:v>27.004972600445093</c:v>
                </c:pt>
                <c:pt idx="78">
                  <c:v>27.006283704793152</c:v>
                </c:pt>
                <c:pt idx="79">
                  <c:v>27.122459718729626</c:v>
                </c:pt>
                <c:pt idx="80">
                  <c:v>27.185647720111682</c:v>
                </c:pt>
                <c:pt idx="81">
                  <c:v>27.35041021133209</c:v>
                </c:pt>
                <c:pt idx="82">
                  <c:v>27.633222390871019</c:v>
                </c:pt>
                <c:pt idx="83">
                  <c:v>27.78220552983586</c:v>
                </c:pt>
                <c:pt idx="84">
                  <c:v>27.97812241521919</c:v>
                </c:pt>
                <c:pt idx="85">
                  <c:v>28.11559502501262</c:v>
                </c:pt>
                <c:pt idx="86">
                  <c:v>28.28129316987102</c:v>
                </c:pt>
                <c:pt idx="87">
                  <c:v>28.398658964775173</c:v>
                </c:pt>
                <c:pt idx="88">
                  <c:v>28.454430868051819</c:v>
                </c:pt>
                <c:pt idx="89">
                  <c:v>28.437745454221254</c:v>
                </c:pt>
                <c:pt idx="90">
                  <c:v>28.387002085297986</c:v>
                </c:pt>
                <c:pt idx="91">
                  <c:v>28.466302941279334</c:v>
                </c:pt>
                <c:pt idx="92">
                  <c:v>28.630080494180781</c:v>
                </c:pt>
                <c:pt idx="93">
                  <c:v>28.897919008930653</c:v>
                </c:pt>
                <c:pt idx="94">
                  <c:v>29.043541777418721</c:v>
                </c:pt>
                <c:pt idx="95">
                  <c:v>29.238518266723595</c:v>
                </c:pt>
                <c:pt idx="96">
                  <c:v>29.424779088862458</c:v>
                </c:pt>
                <c:pt idx="97">
                  <c:v>29.523883306214891</c:v>
                </c:pt>
                <c:pt idx="98">
                  <c:v>29.711861321987147</c:v>
                </c:pt>
                <c:pt idx="99">
                  <c:v>29.824914947926892</c:v>
                </c:pt>
                <c:pt idx="100">
                  <c:v>29.935787797059888</c:v>
                </c:pt>
                <c:pt idx="101">
                  <c:v>30.068601945481014</c:v>
                </c:pt>
                <c:pt idx="102">
                  <c:v>30.115914679698687</c:v>
                </c:pt>
                <c:pt idx="103">
                  <c:v>30.214137069654488</c:v>
                </c:pt>
                <c:pt idx="104">
                  <c:v>30.127424518712811</c:v>
                </c:pt>
              </c:numCache>
            </c:numRef>
          </c:val>
          <c:smooth val="0"/>
        </c:ser>
        <c:ser>
          <c:idx val="1"/>
          <c:order val="1"/>
          <c:tx>
            <c:strRef>
              <c:f>'Wage, price statistics'!$EX$2</c:f>
              <c:strCache>
                <c:ptCount val="1"/>
                <c:pt idx="0">
                  <c:v>Total All Industries</c:v>
                </c:pt>
              </c:strCache>
            </c:strRef>
          </c:tx>
          <c:marker>
            <c:symbol val="none"/>
          </c:marker>
          <c:cat>
            <c:numRef>
              <c:f>'Wage, price statistics'!$EV$10:$EV$114</c:f>
              <c:numCache>
                <c:formatCode>mmm\-yy</c:formatCode>
                <c:ptCount val="105"/>
                <c:pt idx="0">
                  <c:v>33208</c:v>
                </c:pt>
                <c:pt idx="1">
                  <c:v>33298</c:v>
                </c:pt>
                <c:pt idx="2">
                  <c:v>33390</c:v>
                </c:pt>
                <c:pt idx="3">
                  <c:v>33482</c:v>
                </c:pt>
                <c:pt idx="4">
                  <c:v>33573</c:v>
                </c:pt>
                <c:pt idx="5">
                  <c:v>33664</c:v>
                </c:pt>
                <c:pt idx="6">
                  <c:v>33756</c:v>
                </c:pt>
                <c:pt idx="7">
                  <c:v>33848</c:v>
                </c:pt>
                <c:pt idx="8">
                  <c:v>33939</c:v>
                </c:pt>
                <c:pt idx="9">
                  <c:v>34029</c:v>
                </c:pt>
                <c:pt idx="10">
                  <c:v>34121</c:v>
                </c:pt>
                <c:pt idx="11">
                  <c:v>34213</c:v>
                </c:pt>
                <c:pt idx="12">
                  <c:v>34304</c:v>
                </c:pt>
                <c:pt idx="13">
                  <c:v>34394</c:v>
                </c:pt>
                <c:pt idx="14">
                  <c:v>34486</c:v>
                </c:pt>
                <c:pt idx="15">
                  <c:v>34578</c:v>
                </c:pt>
                <c:pt idx="16">
                  <c:v>34669</c:v>
                </c:pt>
                <c:pt idx="17">
                  <c:v>34759</c:v>
                </c:pt>
                <c:pt idx="18">
                  <c:v>34851</c:v>
                </c:pt>
                <c:pt idx="19">
                  <c:v>34943</c:v>
                </c:pt>
                <c:pt idx="20">
                  <c:v>35034</c:v>
                </c:pt>
                <c:pt idx="21">
                  <c:v>35125</c:v>
                </c:pt>
                <c:pt idx="22">
                  <c:v>35217</c:v>
                </c:pt>
                <c:pt idx="23">
                  <c:v>35309</c:v>
                </c:pt>
                <c:pt idx="24">
                  <c:v>35400</c:v>
                </c:pt>
                <c:pt idx="25">
                  <c:v>35490</c:v>
                </c:pt>
                <c:pt idx="26">
                  <c:v>35582</c:v>
                </c:pt>
                <c:pt idx="27">
                  <c:v>35674</c:v>
                </c:pt>
                <c:pt idx="28">
                  <c:v>35765</c:v>
                </c:pt>
                <c:pt idx="29">
                  <c:v>35855</c:v>
                </c:pt>
                <c:pt idx="30">
                  <c:v>35947</c:v>
                </c:pt>
                <c:pt idx="31">
                  <c:v>36039</c:v>
                </c:pt>
                <c:pt idx="32">
                  <c:v>36130</c:v>
                </c:pt>
                <c:pt idx="33">
                  <c:v>36220</c:v>
                </c:pt>
                <c:pt idx="34">
                  <c:v>36312</c:v>
                </c:pt>
                <c:pt idx="35">
                  <c:v>36404</c:v>
                </c:pt>
                <c:pt idx="36">
                  <c:v>36495</c:v>
                </c:pt>
                <c:pt idx="37">
                  <c:v>36586</c:v>
                </c:pt>
                <c:pt idx="38">
                  <c:v>36678</c:v>
                </c:pt>
                <c:pt idx="39">
                  <c:v>36770</c:v>
                </c:pt>
                <c:pt idx="40">
                  <c:v>36861</c:v>
                </c:pt>
                <c:pt idx="41">
                  <c:v>36951</c:v>
                </c:pt>
                <c:pt idx="42">
                  <c:v>37043</c:v>
                </c:pt>
                <c:pt idx="43">
                  <c:v>37135</c:v>
                </c:pt>
                <c:pt idx="44">
                  <c:v>37226</c:v>
                </c:pt>
                <c:pt idx="45">
                  <c:v>37316</c:v>
                </c:pt>
                <c:pt idx="46">
                  <c:v>37408</c:v>
                </c:pt>
                <c:pt idx="47">
                  <c:v>37500</c:v>
                </c:pt>
                <c:pt idx="48">
                  <c:v>37591</c:v>
                </c:pt>
                <c:pt idx="49">
                  <c:v>37681</c:v>
                </c:pt>
                <c:pt idx="50">
                  <c:v>37773</c:v>
                </c:pt>
                <c:pt idx="51">
                  <c:v>37865</c:v>
                </c:pt>
                <c:pt idx="52">
                  <c:v>37956</c:v>
                </c:pt>
                <c:pt idx="53">
                  <c:v>38047</c:v>
                </c:pt>
                <c:pt idx="54">
                  <c:v>38139</c:v>
                </c:pt>
                <c:pt idx="55">
                  <c:v>38231</c:v>
                </c:pt>
                <c:pt idx="56">
                  <c:v>38322</c:v>
                </c:pt>
                <c:pt idx="57">
                  <c:v>38412</c:v>
                </c:pt>
                <c:pt idx="58">
                  <c:v>38504</c:v>
                </c:pt>
                <c:pt idx="59">
                  <c:v>38596</c:v>
                </c:pt>
                <c:pt idx="60">
                  <c:v>38687</c:v>
                </c:pt>
                <c:pt idx="61">
                  <c:v>38777</c:v>
                </c:pt>
                <c:pt idx="62">
                  <c:v>38869</c:v>
                </c:pt>
                <c:pt idx="63">
                  <c:v>38961</c:v>
                </c:pt>
                <c:pt idx="64">
                  <c:v>39052</c:v>
                </c:pt>
                <c:pt idx="65">
                  <c:v>39142</c:v>
                </c:pt>
                <c:pt idx="66">
                  <c:v>39234</c:v>
                </c:pt>
                <c:pt idx="67">
                  <c:v>39326</c:v>
                </c:pt>
                <c:pt idx="68">
                  <c:v>39417</c:v>
                </c:pt>
                <c:pt idx="69">
                  <c:v>39508</c:v>
                </c:pt>
                <c:pt idx="70">
                  <c:v>39600</c:v>
                </c:pt>
                <c:pt idx="71">
                  <c:v>39692</c:v>
                </c:pt>
                <c:pt idx="72">
                  <c:v>39783</c:v>
                </c:pt>
                <c:pt idx="73">
                  <c:v>39873</c:v>
                </c:pt>
                <c:pt idx="74">
                  <c:v>39965</c:v>
                </c:pt>
                <c:pt idx="75">
                  <c:v>40057</c:v>
                </c:pt>
                <c:pt idx="76">
                  <c:v>40148</c:v>
                </c:pt>
                <c:pt idx="77">
                  <c:v>40238</c:v>
                </c:pt>
                <c:pt idx="78">
                  <c:v>40330</c:v>
                </c:pt>
                <c:pt idx="79">
                  <c:v>40422</c:v>
                </c:pt>
                <c:pt idx="80">
                  <c:v>40513</c:v>
                </c:pt>
                <c:pt idx="81">
                  <c:v>40603</c:v>
                </c:pt>
                <c:pt idx="82">
                  <c:v>40695</c:v>
                </c:pt>
                <c:pt idx="83">
                  <c:v>40787</c:v>
                </c:pt>
                <c:pt idx="84">
                  <c:v>40878</c:v>
                </c:pt>
                <c:pt idx="85">
                  <c:v>40969</c:v>
                </c:pt>
                <c:pt idx="86">
                  <c:v>41061</c:v>
                </c:pt>
                <c:pt idx="87">
                  <c:v>41153</c:v>
                </c:pt>
                <c:pt idx="88">
                  <c:v>41244</c:v>
                </c:pt>
                <c:pt idx="89">
                  <c:v>41334</c:v>
                </c:pt>
                <c:pt idx="90">
                  <c:v>41426</c:v>
                </c:pt>
                <c:pt idx="91">
                  <c:v>41518</c:v>
                </c:pt>
                <c:pt idx="92">
                  <c:v>41609</c:v>
                </c:pt>
                <c:pt idx="93">
                  <c:v>41699</c:v>
                </c:pt>
                <c:pt idx="94">
                  <c:v>41791</c:v>
                </c:pt>
                <c:pt idx="95">
                  <c:v>41883</c:v>
                </c:pt>
                <c:pt idx="96">
                  <c:v>41974</c:v>
                </c:pt>
                <c:pt idx="97">
                  <c:v>42064</c:v>
                </c:pt>
                <c:pt idx="98">
                  <c:v>42156</c:v>
                </c:pt>
                <c:pt idx="99">
                  <c:v>42248</c:v>
                </c:pt>
                <c:pt idx="100">
                  <c:v>42339</c:v>
                </c:pt>
                <c:pt idx="101">
                  <c:v>42430</c:v>
                </c:pt>
                <c:pt idx="102">
                  <c:v>42522</c:v>
                </c:pt>
                <c:pt idx="103">
                  <c:v>42614</c:v>
                </c:pt>
                <c:pt idx="104">
                  <c:v>42705</c:v>
                </c:pt>
              </c:numCache>
            </c:numRef>
          </c:cat>
          <c:val>
            <c:numRef>
              <c:f>'Wage, price statistics'!$EX$10:$EX$114</c:f>
              <c:numCache>
                <c:formatCode>0.00</c:formatCode>
                <c:ptCount val="105"/>
                <c:pt idx="0">
                  <c:v>14.095776979443075</c:v>
                </c:pt>
                <c:pt idx="1">
                  <c:v>14.244440056895998</c:v>
                </c:pt>
                <c:pt idx="2">
                  <c:v>14.372078005311071</c:v>
                </c:pt>
                <c:pt idx="3">
                  <c:v>14.49009046565129</c:v>
                </c:pt>
                <c:pt idx="4">
                  <c:v>14.592009233534077</c:v>
                </c:pt>
                <c:pt idx="5">
                  <c:v>14.685098590698697</c:v>
                </c:pt>
                <c:pt idx="6">
                  <c:v>14.765528428040508</c:v>
                </c:pt>
                <c:pt idx="7">
                  <c:v>14.811789584220769</c:v>
                </c:pt>
                <c:pt idx="8">
                  <c:v>14.845429320589572</c:v>
                </c:pt>
                <c:pt idx="9">
                  <c:v>14.849280098836019</c:v>
                </c:pt>
                <c:pt idx="10">
                  <c:v>14.860338146856726</c:v>
                </c:pt>
                <c:pt idx="11">
                  <c:v>14.864278657669345</c:v>
                </c:pt>
                <c:pt idx="12">
                  <c:v>14.874119939630869</c:v>
                </c:pt>
                <c:pt idx="13">
                  <c:v>14.908852137974707</c:v>
                </c:pt>
                <c:pt idx="14">
                  <c:v>14.956932887002184</c:v>
                </c:pt>
                <c:pt idx="15">
                  <c:v>15.017979771066958</c:v>
                </c:pt>
                <c:pt idx="16">
                  <c:v>15.083682381249442</c:v>
                </c:pt>
                <c:pt idx="17">
                  <c:v>15.154955806837135</c:v>
                </c:pt>
                <c:pt idx="18">
                  <c:v>15.230375401042336</c:v>
                </c:pt>
                <c:pt idx="19">
                  <c:v>15.328244742179409</c:v>
                </c:pt>
                <c:pt idx="20">
                  <c:v>15.43902041702867</c:v>
                </c:pt>
                <c:pt idx="21">
                  <c:v>15.554037332440783</c:v>
                </c:pt>
                <c:pt idx="22">
                  <c:v>15.689501039174194</c:v>
                </c:pt>
                <c:pt idx="23">
                  <c:v>15.822881414569956</c:v>
                </c:pt>
                <c:pt idx="24">
                  <c:v>15.971533046862552</c:v>
                </c:pt>
                <c:pt idx="25">
                  <c:v>16.137098274750429</c:v>
                </c:pt>
                <c:pt idx="26">
                  <c:v>16.279566482018296</c:v>
                </c:pt>
                <c:pt idx="27">
                  <c:v>16.430300576009056</c:v>
                </c:pt>
                <c:pt idx="28">
                  <c:v>16.558020082956666</c:v>
                </c:pt>
                <c:pt idx="29">
                  <c:v>16.657151031353589</c:v>
                </c:pt>
                <c:pt idx="30">
                  <c:v>16.774066611832069</c:v>
                </c:pt>
                <c:pt idx="31">
                  <c:v>16.877588883049583</c:v>
                </c:pt>
                <c:pt idx="32">
                  <c:v>17.003173669210259</c:v>
                </c:pt>
                <c:pt idx="33">
                  <c:v>17.123582699996948</c:v>
                </c:pt>
                <c:pt idx="34">
                  <c:v>17.217462122807756</c:v>
                </c:pt>
                <c:pt idx="35">
                  <c:v>17.34471008757497</c:v>
                </c:pt>
                <c:pt idx="36">
                  <c:v>17.419142121077307</c:v>
                </c:pt>
                <c:pt idx="37">
                  <c:v>17.491566532440213</c:v>
                </c:pt>
                <c:pt idx="38">
                  <c:v>17.576522100996943</c:v>
                </c:pt>
                <c:pt idx="39">
                  <c:v>17.652105576318331</c:v>
                </c:pt>
                <c:pt idx="40">
                  <c:v>17.76394195263796</c:v>
                </c:pt>
                <c:pt idx="41">
                  <c:v>17.902612539529443</c:v>
                </c:pt>
                <c:pt idx="42">
                  <c:v>18.051323704761693</c:v>
                </c:pt>
                <c:pt idx="43">
                  <c:v>18.205122417277742</c:v>
                </c:pt>
                <c:pt idx="44">
                  <c:v>18.357304877058596</c:v>
                </c:pt>
                <c:pt idx="45">
                  <c:v>18.523018967178061</c:v>
                </c:pt>
                <c:pt idx="46">
                  <c:v>18.631963067543339</c:v>
                </c:pt>
                <c:pt idx="47">
                  <c:v>18.772676671739926</c:v>
                </c:pt>
                <c:pt idx="48">
                  <c:v>18.939073470988799</c:v>
                </c:pt>
                <c:pt idx="49">
                  <c:v>19.048588032836218</c:v>
                </c:pt>
                <c:pt idx="50">
                  <c:v>19.222785757218553</c:v>
                </c:pt>
                <c:pt idx="51">
                  <c:v>19.370249586544595</c:v>
                </c:pt>
                <c:pt idx="52">
                  <c:v>19.531362104459721</c:v>
                </c:pt>
                <c:pt idx="53">
                  <c:v>19.695104747182143</c:v>
                </c:pt>
                <c:pt idx="54">
                  <c:v>19.913244162860934</c:v>
                </c:pt>
                <c:pt idx="55">
                  <c:v>20.081296983806425</c:v>
                </c:pt>
                <c:pt idx="56">
                  <c:v>20.19192661297776</c:v>
                </c:pt>
                <c:pt idx="57">
                  <c:v>20.375019640685647</c:v>
                </c:pt>
                <c:pt idx="58">
                  <c:v>20.553721114781368</c:v>
                </c:pt>
                <c:pt idx="59">
                  <c:v>20.769007432125292</c:v>
                </c:pt>
                <c:pt idx="60">
                  <c:v>21.049622027026196</c:v>
                </c:pt>
                <c:pt idx="61">
                  <c:v>21.325851955835606</c:v>
                </c:pt>
                <c:pt idx="62">
                  <c:v>21.560726536614165</c:v>
                </c:pt>
                <c:pt idx="63">
                  <c:v>21.830283115840881</c:v>
                </c:pt>
                <c:pt idx="64">
                  <c:v>22.100094486956888</c:v>
                </c:pt>
                <c:pt idx="65">
                  <c:v>22.355160634379835</c:v>
                </c:pt>
                <c:pt idx="66">
                  <c:v>22.588947164739483</c:v>
                </c:pt>
                <c:pt idx="67">
                  <c:v>22.809047079250544</c:v>
                </c:pt>
                <c:pt idx="68">
                  <c:v>23.046179752565322</c:v>
                </c:pt>
                <c:pt idx="69">
                  <c:v>23.30928662269806</c:v>
                </c:pt>
                <c:pt idx="70">
                  <c:v>23.612735224005057</c:v>
                </c:pt>
                <c:pt idx="71">
                  <c:v>23.930183890188946</c:v>
                </c:pt>
                <c:pt idx="72">
                  <c:v>24.258237926339785</c:v>
                </c:pt>
                <c:pt idx="73">
                  <c:v>24.57906028791561</c:v>
                </c:pt>
                <c:pt idx="74">
                  <c:v>24.856890662012219</c:v>
                </c:pt>
                <c:pt idx="75">
                  <c:v>25.094043009420616</c:v>
                </c:pt>
                <c:pt idx="76">
                  <c:v>25.265754852208609</c:v>
                </c:pt>
                <c:pt idx="77">
                  <c:v>25.333103940045568</c:v>
                </c:pt>
                <c:pt idx="78">
                  <c:v>25.401312356660075</c:v>
                </c:pt>
                <c:pt idx="79">
                  <c:v>25.480741778789316</c:v>
                </c:pt>
                <c:pt idx="80">
                  <c:v>25.598174011548089</c:v>
                </c:pt>
                <c:pt idx="81">
                  <c:v>25.762388240340869</c:v>
                </c:pt>
                <c:pt idx="82">
                  <c:v>25.959235375174725</c:v>
                </c:pt>
                <c:pt idx="83">
                  <c:v>26.16469258937941</c:v>
                </c:pt>
                <c:pt idx="84">
                  <c:v>26.349400695078632</c:v>
                </c:pt>
                <c:pt idx="85">
                  <c:v>26.600831900926021</c:v>
                </c:pt>
                <c:pt idx="86">
                  <c:v>26.783832618534781</c:v>
                </c:pt>
                <c:pt idx="87">
                  <c:v>26.964254740243177</c:v>
                </c:pt>
                <c:pt idx="88">
                  <c:v>27.141113344541328</c:v>
                </c:pt>
                <c:pt idx="89">
                  <c:v>27.27964178914949</c:v>
                </c:pt>
                <c:pt idx="90">
                  <c:v>27.418059499241057</c:v>
                </c:pt>
                <c:pt idx="91">
                  <c:v>27.58852980623805</c:v>
                </c:pt>
                <c:pt idx="92">
                  <c:v>27.773067602818667</c:v>
                </c:pt>
                <c:pt idx="93">
                  <c:v>27.944242639964781</c:v>
                </c:pt>
                <c:pt idx="94">
                  <c:v>28.119835295744956</c:v>
                </c:pt>
                <c:pt idx="95">
                  <c:v>28.285364665683918</c:v>
                </c:pt>
                <c:pt idx="96">
                  <c:v>28.473349078850607</c:v>
                </c:pt>
                <c:pt idx="97">
                  <c:v>28.619412923804926</c:v>
                </c:pt>
                <c:pt idx="98">
                  <c:v>28.818765638520599</c:v>
                </c:pt>
                <c:pt idx="99">
                  <c:v>28.980817108574332</c:v>
                </c:pt>
                <c:pt idx="100">
                  <c:v>29.135934744795914</c:v>
                </c:pt>
                <c:pt idx="101">
                  <c:v>29.311380825000043</c:v>
                </c:pt>
                <c:pt idx="102">
                  <c:v>29.469916231058541</c:v>
                </c:pt>
                <c:pt idx="103">
                  <c:v>29.600669870912917</c:v>
                </c:pt>
                <c:pt idx="104">
                  <c:v>29.699923956859827</c:v>
                </c:pt>
              </c:numCache>
            </c:numRef>
          </c:val>
          <c:smooth val="0"/>
        </c:ser>
        <c:dLbls>
          <c:showLegendKey val="0"/>
          <c:showVal val="0"/>
          <c:showCatName val="0"/>
          <c:showSerName val="0"/>
          <c:showPercent val="0"/>
          <c:showBubbleSize val="0"/>
        </c:dLbls>
        <c:smooth val="0"/>
        <c:axId val="788651552"/>
        <c:axId val="788649592"/>
      </c:lineChart>
      <c:dateAx>
        <c:axId val="788651552"/>
        <c:scaling>
          <c:orientation val="minMax"/>
        </c:scaling>
        <c:delete val="0"/>
        <c:axPos val="b"/>
        <c:numFmt formatCode="yyyy" sourceLinked="0"/>
        <c:majorTickMark val="out"/>
        <c:minorTickMark val="none"/>
        <c:tickLblPos val="low"/>
        <c:txPr>
          <a:bodyPr rot="-2700000" vert="horz"/>
          <a:lstStyle/>
          <a:p>
            <a:pPr>
              <a:defRPr sz="1000" b="0" i="0" u="none" strike="noStrike" baseline="0">
                <a:solidFill>
                  <a:srgbClr val="000000"/>
                </a:solidFill>
                <a:latin typeface="Calibri"/>
                <a:ea typeface="Calibri"/>
                <a:cs typeface="Calibri"/>
              </a:defRPr>
            </a:pPr>
            <a:endParaRPr lang="en-US"/>
          </a:p>
        </c:txPr>
        <c:crossAx val="788649592"/>
        <c:crosses val="autoZero"/>
        <c:auto val="1"/>
        <c:lblOffset val="100"/>
        <c:baseTimeUnit val="months"/>
      </c:dateAx>
      <c:valAx>
        <c:axId val="788649592"/>
        <c:scaling>
          <c:orientation val="minMax"/>
          <c:min val="0"/>
        </c:scaling>
        <c:delete val="0"/>
        <c:axPos val="l"/>
        <c:majorGridlines/>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88651552"/>
        <c:crosses val="autoZero"/>
        <c:crossBetween val="between"/>
      </c:valAx>
    </c:plotArea>
    <c:legend>
      <c:legendPos val="r"/>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NZ"/>
              <a:t>Annual increase</a:t>
            </a:r>
          </a:p>
        </c:rich>
      </c:tx>
      <c:overlay val="0"/>
    </c:title>
    <c:autoTitleDeleted val="0"/>
    <c:plotArea>
      <c:layout/>
      <c:lineChart>
        <c:grouping val="standard"/>
        <c:varyColors val="0"/>
        <c:ser>
          <c:idx val="0"/>
          <c:order val="0"/>
          <c:tx>
            <c:strRef>
              <c:f>'Wage, price statistics'!$EY$2</c:f>
              <c:strCache>
                <c:ptCount val="1"/>
                <c:pt idx="0">
                  <c:v>Health Care and Social Assistance</c:v>
                </c:pt>
              </c:strCache>
            </c:strRef>
          </c:tx>
          <c:marker>
            <c:symbol val="none"/>
          </c:marker>
          <c:cat>
            <c:numRef>
              <c:f>'Wage, price statistics'!$EV$10:$EV$114</c:f>
              <c:numCache>
                <c:formatCode>mmm\-yy</c:formatCode>
                <c:ptCount val="105"/>
                <c:pt idx="0">
                  <c:v>33208</c:v>
                </c:pt>
                <c:pt idx="1">
                  <c:v>33298</c:v>
                </c:pt>
                <c:pt idx="2">
                  <c:v>33390</c:v>
                </c:pt>
                <c:pt idx="3">
                  <c:v>33482</c:v>
                </c:pt>
                <c:pt idx="4">
                  <c:v>33573</c:v>
                </c:pt>
                <c:pt idx="5">
                  <c:v>33664</c:v>
                </c:pt>
                <c:pt idx="6">
                  <c:v>33756</c:v>
                </c:pt>
                <c:pt idx="7">
                  <c:v>33848</c:v>
                </c:pt>
                <c:pt idx="8">
                  <c:v>33939</c:v>
                </c:pt>
                <c:pt idx="9">
                  <c:v>34029</c:v>
                </c:pt>
                <c:pt idx="10">
                  <c:v>34121</c:v>
                </c:pt>
                <c:pt idx="11">
                  <c:v>34213</c:v>
                </c:pt>
                <c:pt idx="12">
                  <c:v>34304</c:v>
                </c:pt>
                <c:pt idx="13">
                  <c:v>34394</c:v>
                </c:pt>
                <c:pt idx="14">
                  <c:v>34486</c:v>
                </c:pt>
                <c:pt idx="15">
                  <c:v>34578</c:v>
                </c:pt>
                <c:pt idx="16">
                  <c:v>34669</c:v>
                </c:pt>
                <c:pt idx="17">
                  <c:v>34759</c:v>
                </c:pt>
                <c:pt idx="18">
                  <c:v>34851</c:v>
                </c:pt>
                <c:pt idx="19">
                  <c:v>34943</c:v>
                </c:pt>
                <c:pt idx="20">
                  <c:v>35034</c:v>
                </c:pt>
                <c:pt idx="21">
                  <c:v>35125</c:v>
                </c:pt>
                <c:pt idx="22">
                  <c:v>35217</c:v>
                </c:pt>
                <c:pt idx="23">
                  <c:v>35309</c:v>
                </c:pt>
                <c:pt idx="24">
                  <c:v>35400</c:v>
                </c:pt>
                <c:pt idx="25">
                  <c:v>35490</c:v>
                </c:pt>
                <c:pt idx="26">
                  <c:v>35582</c:v>
                </c:pt>
                <c:pt idx="27">
                  <c:v>35674</c:v>
                </c:pt>
                <c:pt idx="28">
                  <c:v>35765</c:v>
                </c:pt>
                <c:pt idx="29">
                  <c:v>35855</c:v>
                </c:pt>
                <c:pt idx="30">
                  <c:v>35947</c:v>
                </c:pt>
                <c:pt idx="31">
                  <c:v>36039</c:v>
                </c:pt>
                <c:pt idx="32">
                  <c:v>36130</c:v>
                </c:pt>
                <c:pt idx="33">
                  <c:v>36220</c:v>
                </c:pt>
                <c:pt idx="34">
                  <c:v>36312</c:v>
                </c:pt>
                <c:pt idx="35">
                  <c:v>36404</c:v>
                </c:pt>
                <c:pt idx="36">
                  <c:v>36495</c:v>
                </c:pt>
                <c:pt idx="37">
                  <c:v>36586</c:v>
                </c:pt>
                <c:pt idx="38">
                  <c:v>36678</c:v>
                </c:pt>
                <c:pt idx="39">
                  <c:v>36770</c:v>
                </c:pt>
                <c:pt idx="40">
                  <c:v>36861</c:v>
                </c:pt>
                <c:pt idx="41">
                  <c:v>36951</c:v>
                </c:pt>
                <c:pt idx="42">
                  <c:v>37043</c:v>
                </c:pt>
                <c:pt idx="43">
                  <c:v>37135</c:v>
                </c:pt>
                <c:pt idx="44">
                  <c:v>37226</c:v>
                </c:pt>
                <c:pt idx="45">
                  <c:v>37316</c:v>
                </c:pt>
                <c:pt idx="46">
                  <c:v>37408</c:v>
                </c:pt>
                <c:pt idx="47">
                  <c:v>37500</c:v>
                </c:pt>
                <c:pt idx="48">
                  <c:v>37591</c:v>
                </c:pt>
                <c:pt idx="49">
                  <c:v>37681</c:v>
                </c:pt>
                <c:pt idx="50">
                  <c:v>37773</c:v>
                </c:pt>
                <c:pt idx="51">
                  <c:v>37865</c:v>
                </c:pt>
                <c:pt idx="52">
                  <c:v>37956</c:v>
                </c:pt>
                <c:pt idx="53">
                  <c:v>38047</c:v>
                </c:pt>
                <c:pt idx="54">
                  <c:v>38139</c:v>
                </c:pt>
                <c:pt idx="55">
                  <c:v>38231</c:v>
                </c:pt>
                <c:pt idx="56">
                  <c:v>38322</c:v>
                </c:pt>
                <c:pt idx="57">
                  <c:v>38412</c:v>
                </c:pt>
                <c:pt idx="58">
                  <c:v>38504</c:v>
                </c:pt>
                <c:pt idx="59">
                  <c:v>38596</c:v>
                </c:pt>
                <c:pt idx="60">
                  <c:v>38687</c:v>
                </c:pt>
                <c:pt idx="61">
                  <c:v>38777</c:v>
                </c:pt>
                <c:pt idx="62">
                  <c:v>38869</c:v>
                </c:pt>
                <c:pt idx="63">
                  <c:v>38961</c:v>
                </c:pt>
                <c:pt idx="64">
                  <c:v>39052</c:v>
                </c:pt>
                <c:pt idx="65">
                  <c:v>39142</c:v>
                </c:pt>
                <c:pt idx="66">
                  <c:v>39234</c:v>
                </c:pt>
                <c:pt idx="67">
                  <c:v>39326</c:v>
                </c:pt>
                <c:pt idx="68">
                  <c:v>39417</c:v>
                </c:pt>
                <c:pt idx="69">
                  <c:v>39508</c:v>
                </c:pt>
                <c:pt idx="70">
                  <c:v>39600</c:v>
                </c:pt>
                <c:pt idx="71">
                  <c:v>39692</c:v>
                </c:pt>
                <c:pt idx="72">
                  <c:v>39783</c:v>
                </c:pt>
                <c:pt idx="73">
                  <c:v>39873</c:v>
                </c:pt>
                <c:pt idx="74">
                  <c:v>39965</c:v>
                </c:pt>
                <c:pt idx="75">
                  <c:v>40057</c:v>
                </c:pt>
                <c:pt idx="76">
                  <c:v>40148</c:v>
                </c:pt>
                <c:pt idx="77">
                  <c:v>40238</c:v>
                </c:pt>
                <c:pt idx="78">
                  <c:v>40330</c:v>
                </c:pt>
                <c:pt idx="79">
                  <c:v>40422</c:v>
                </c:pt>
                <c:pt idx="80">
                  <c:v>40513</c:v>
                </c:pt>
                <c:pt idx="81">
                  <c:v>40603</c:v>
                </c:pt>
                <c:pt idx="82">
                  <c:v>40695</c:v>
                </c:pt>
                <c:pt idx="83">
                  <c:v>40787</c:v>
                </c:pt>
                <c:pt idx="84">
                  <c:v>40878</c:v>
                </c:pt>
                <c:pt idx="85">
                  <c:v>40969</c:v>
                </c:pt>
                <c:pt idx="86">
                  <c:v>41061</c:v>
                </c:pt>
                <c:pt idx="87">
                  <c:v>41153</c:v>
                </c:pt>
                <c:pt idx="88">
                  <c:v>41244</c:v>
                </c:pt>
                <c:pt idx="89">
                  <c:v>41334</c:v>
                </c:pt>
                <c:pt idx="90">
                  <c:v>41426</c:v>
                </c:pt>
                <c:pt idx="91">
                  <c:v>41518</c:v>
                </c:pt>
                <c:pt idx="92">
                  <c:v>41609</c:v>
                </c:pt>
                <c:pt idx="93">
                  <c:v>41699</c:v>
                </c:pt>
                <c:pt idx="94">
                  <c:v>41791</c:v>
                </c:pt>
                <c:pt idx="95">
                  <c:v>41883</c:v>
                </c:pt>
                <c:pt idx="96">
                  <c:v>41974</c:v>
                </c:pt>
                <c:pt idx="97">
                  <c:v>42064</c:v>
                </c:pt>
                <c:pt idx="98">
                  <c:v>42156</c:v>
                </c:pt>
                <c:pt idx="99">
                  <c:v>42248</c:v>
                </c:pt>
                <c:pt idx="100">
                  <c:v>42339</c:v>
                </c:pt>
                <c:pt idx="101">
                  <c:v>42430</c:v>
                </c:pt>
                <c:pt idx="102">
                  <c:v>42522</c:v>
                </c:pt>
                <c:pt idx="103">
                  <c:v>42614</c:v>
                </c:pt>
                <c:pt idx="104">
                  <c:v>42705</c:v>
                </c:pt>
              </c:numCache>
            </c:numRef>
          </c:cat>
          <c:val>
            <c:numRef>
              <c:f>'Wage, price statistics'!$EY$10:$EY$114</c:f>
              <c:numCache>
                <c:formatCode>0.0%</c:formatCode>
                <c:ptCount val="105"/>
                <c:pt idx="0">
                  <c:v>5.3515081735632464E-2</c:v>
                </c:pt>
                <c:pt idx="1">
                  <c:v>5.6956272711798483E-2</c:v>
                </c:pt>
                <c:pt idx="2">
                  <c:v>4.9239806694213684E-2</c:v>
                </c:pt>
                <c:pt idx="3">
                  <c:v>4.6536289280806553E-2</c:v>
                </c:pt>
                <c:pt idx="4">
                  <c:v>3.683712023277641E-2</c:v>
                </c:pt>
                <c:pt idx="5">
                  <c:v>2.7642612058029981E-2</c:v>
                </c:pt>
                <c:pt idx="6">
                  <c:v>2.6970261260238937E-2</c:v>
                </c:pt>
                <c:pt idx="7">
                  <c:v>1.8389750289279805E-2</c:v>
                </c:pt>
                <c:pt idx="8">
                  <c:v>1.8312146752692327E-2</c:v>
                </c:pt>
                <c:pt idx="9">
                  <c:v>1.0350933218931546E-2</c:v>
                </c:pt>
                <c:pt idx="10">
                  <c:v>7.3129302761878456E-3</c:v>
                </c:pt>
                <c:pt idx="11">
                  <c:v>6.2636641162840956E-3</c:v>
                </c:pt>
                <c:pt idx="12">
                  <c:v>-9.3457411213249131E-6</c:v>
                </c:pt>
                <c:pt idx="13">
                  <c:v>4.5326179610172268E-3</c:v>
                </c:pt>
                <c:pt idx="14">
                  <c:v>3.7770900006117714E-3</c:v>
                </c:pt>
                <c:pt idx="15">
                  <c:v>-4.9875831396550829E-4</c:v>
                </c:pt>
                <c:pt idx="16">
                  <c:v>9.6331929284430018E-3</c:v>
                </c:pt>
                <c:pt idx="17">
                  <c:v>1.1771244656666457E-2</c:v>
                </c:pt>
                <c:pt idx="18">
                  <c:v>1.6109928352471936E-2</c:v>
                </c:pt>
                <c:pt idx="19">
                  <c:v>3.4732029647827511E-2</c:v>
                </c:pt>
                <c:pt idx="20">
                  <c:v>3.3574689304692429E-2</c:v>
                </c:pt>
                <c:pt idx="21">
                  <c:v>3.7290690762073808E-2</c:v>
                </c:pt>
                <c:pt idx="22">
                  <c:v>4.1883956358933272E-2</c:v>
                </c:pt>
                <c:pt idx="23">
                  <c:v>3.5064255999652127E-2</c:v>
                </c:pt>
                <c:pt idx="24">
                  <c:v>3.4106465014527965E-2</c:v>
                </c:pt>
                <c:pt idx="25">
                  <c:v>3.5448026958419199E-2</c:v>
                </c:pt>
                <c:pt idx="26">
                  <c:v>3.4536858150432392E-2</c:v>
                </c:pt>
                <c:pt idx="27">
                  <c:v>3.7933564544075482E-2</c:v>
                </c:pt>
                <c:pt idx="28">
                  <c:v>3.9914168567064756E-2</c:v>
                </c:pt>
                <c:pt idx="29">
                  <c:v>3.6530271558326E-2</c:v>
                </c:pt>
                <c:pt idx="30">
                  <c:v>3.2848606231494326E-2</c:v>
                </c:pt>
                <c:pt idx="31">
                  <c:v>2.364600613257628E-2</c:v>
                </c:pt>
                <c:pt idx="32">
                  <c:v>2.0506980499345184E-2</c:v>
                </c:pt>
                <c:pt idx="33">
                  <c:v>1.9352241236776369E-2</c:v>
                </c:pt>
                <c:pt idx="34">
                  <c:v>1.5108242896743063E-2</c:v>
                </c:pt>
                <c:pt idx="35">
                  <c:v>1.8666698904834522E-2</c:v>
                </c:pt>
                <c:pt idx="36">
                  <c:v>1.5340099357440184E-2</c:v>
                </c:pt>
                <c:pt idx="37">
                  <c:v>1.3216457023362382E-2</c:v>
                </c:pt>
                <c:pt idx="38">
                  <c:v>1.3687855247661362E-2</c:v>
                </c:pt>
                <c:pt idx="39">
                  <c:v>6.5469442964793956E-3</c:v>
                </c:pt>
                <c:pt idx="40">
                  <c:v>5.3685891055823554E-3</c:v>
                </c:pt>
                <c:pt idx="41">
                  <c:v>6.1295602203235156E-3</c:v>
                </c:pt>
                <c:pt idx="42">
                  <c:v>1.1652130008613426E-2</c:v>
                </c:pt>
                <c:pt idx="43">
                  <c:v>2.5933127692691516E-2</c:v>
                </c:pt>
                <c:pt idx="44">
                  <c:v>3.3390713103880199E-2</c:v>
                </c:pt>
                <c:pt idx="45">
                  <c:v>3.8131363442497346E-2</c:v>
                </c:pt>
                <c:pt idx="46">
                  <c:v>3.7444348549479534E-2</c:v>
                </c:pt>
                <c:pt idx="47">
                  <c:v>2.785997926949868E-2</c:v>
                </c:pt>
                <c:pt idx="48">
                  <c:v>2.8946841522275113E-2</c:v>
                </c:pt>
                <c:pt idx="49">
                  <c:v>2.7589025525694977E-2</c:v>
                </c:pt>
                <c:pt idx="50">
                  <c:v>2.8564330018173711E-2</c:v>
                </c:pt>
                <c:pt idx="51">
                  <c:v>3.2681939193004439E-2</c:v>
                </c:pt>
                <c:pt idx="52">
                  <c:v>3.6336316619062448E-2</c:v>
                </c:pt>
                <c:pt idx="53">
                  <c:v>3.7478848847880775E-2</c:v>
                </c:pt>
                <c:pt idx="54">
                  <c:v>4.1472241688038425E-2</c:v>
                </c:pt>
                <c:pt idx="55">
                  <c:v>4.6002242981415087E-2</c:v>
                </c:pt>
                <c:pt idx="56">
                  <c:v>3.8571165248746597E-2</c:v>
                </c:pt>
                <c:pt idx="57">
                  <c:v>4.3668787748672555E-2</c:v>
                </c:pt>
                <c:pt idx="58">
                  <c:v>4.7101551810015074E-2</c:v>
                </c:pt>
                <c:pt idx="59">
                  <c:v>4.863394994346959E-2</c:v>
                </c:pt>
                <c:pt idx="60">
                  <c:v>5.9057453413466687E-2</c:v>
                </c:pt>
                <c:pt idx="61">
                  <c:v>6.2913119744695267E-2</c:v>
                </c:pt>
                <c:pt idx="62">
                  <c:v>5.7535066313783467E-2</c:v>
                </c:pt>
                <c:pt idx="63">
                  <c:v>5.9604317232333504E-2</c:v>
                </c:pt>
                <c:pt idx="64">
                  <c:v>5.6073603733952648E-2</c:v>
                </c:pt>
                <c:pt idx="65">
                  <c:v>5.2548904617858883E-2</c:v>
                </c:pt>
                <c:pt idx="66">
                  <c:v>5.941453305082911E-2</c:v>
                </c:pt>
                <c:pt idx="67">
                  <c:v>5.4736207564152872E-2</c:v>
                </c:pt>
                <c:pt idx="68">
                  <c:v>5.7495750708828952E-2</c:v>
                </c:pt>
                <c:pt idx="69">
                  <c:v>5.9925774724835845E-2</c:v>
                </c:pt>
                <c:pt idx="70">
                  <c:v>5.908120156238339E-2</c:v>
                </c:pt>
                <c:pt idx="71">
                  <c:v>6.5550299880604346E-2</c:v>
                </c:pt>
                <c:pt idx="72">
                  <c:v>6.7052410016938069E-2</c:v>
                </c:pt>
                <c:pt idx="73">
                  <c:v>6.3712365663708637E-2</c:v>
                </c:pt>
                <c:pt idx="74">
                  <c:v>6.0086794399991206E-2</c:v>
                </c:pt>
                <c:pt idx="75">
                  <c:v>4.7812509666164571E-2</c:v>
                </c:pt>
                <c:pt idx="76">
                  <c:v>3.7141396801172677E-2</c:v>
                </c:pt>
                <c:pt idx="77">
                  <c:v>2.9924004555755612E-2</c:v>
                </c:pt>
                <c:pt idx="78">
                  <c:v>1.7471719457677448E-2</c:v>
                </c:pt>
                <c:pt idx="79">
                  <c:v>1.6138337132373337E-2</c:v>
                </c:pt>
                <c:pt idx="80">
                  <c:v>1.2160947442403147E-2</c:v>
                </c:pt>
                <c:pt idx="81">
                  <c:v>1.2791629749007827E-2</c:v>
                </c:pt>
                <c:pt idx="82">
                  <c:v>2.3214548618794018E-2</c:v>
                </c:pt>
                <c:pt idx="83">
                  <c:v>2.4324704246888151E-2</c:v>
                </c:pt>
                <c:pt idx="84">
                  <c:v>2.9150480550119262E-2</c:v>
                </c:pt>
                <c:pt idx="85">
                  <c:v>2.7977087281984891E-2</c:v>
                </c:pt>
                <c:pt idx="86">
                  <c:v>2.3452595207068549E-2</c:v>
                </c:pt>
                <c:pt idx="87">
                  <c:v>2.2188786785746428E-2</c:v>
                </c:pt>
                <c:pt idx="88">
                  <c:v>1.7024317992601734E-2</c:v>
                </c:pt>
                <c:pt idx="89">
                  <c:v>1.145806905107416E-2</c:v>
                </c:pt>
                <c:pt idx="90">
                  <c:v>3.7377680996419915E-3</c:v>
                </c:pt>
                <c:pt idx="91">
                  <c:v>2.3819426328568483E-3</c:v>
                </c:pt>
                <c:pt idx="92">
                  <c:v>6.1730149143899293E-3</c:v>
                </c:pt>
                <c:pt idx="93">
                  <c:v>1.6181787527783431E-2</c:v>
                </c:pt>
                <c:pt idx="94">
                  <c:v>2.3128179937703441E-2</c:v>
                </c:pt>
                <c:pt idx="95">
                  <c:v>2.7127348677388641E-2</c:v>
                </c:pt>
                <c:pt idx="96">
                  <c:v>2.7757469799751577E-2</c:v>
                </c:pt>
                <c:pt idx="97">
                  <c:v>2.1661224017230696E-2</c:v>
                </c:pt>
                <c:pt idx="98">
                  <c:v>2.3010951959311132E-2</c:v>
                </c:pt>
                <c:pt idx="99">
                  <c:v>2.0055622376414117E-2</c:v>
                </c:pt>
                <c:pt idx="100">
                  <c:v>1.7366611543766952E-2</c:v>
                </c:pt>
                <c:pt idx="101">
                  <c:v>1.845010135070746E-2</c:v>
                </c:pt>
                <c:pt idx="102">
                  <c:v>1.3599059087305854E-2</c:v>
                </c:pt>
                <c:pt idx="103">
                  <c:v>1.305023408808248E-2</c:v>
                </c:pt>
                <c:pt idx="104">
                  <c:v>6.4015927341569689E-3</c:v>
                </c:pt>
              </c:numCache>
            </c:numRef>
          </c:val>
          <c:smooth val="0"/>
        </c:ser>
        <c:ser>
          <c:idx val="1"/>
          <c:order val="1"/>
          <c:tx>
            <c:strRef>
              <c:f>'Wage, price statistics'!$EX$2</c:f>
              <c:strCache>
                <c:ptCount val="1"/>
                <c:pt idx="0">
                  <c:v>Total All Industries</c:v>
                </c:pt>
              </c:strCache>
            </c:strRef>
          </c:tx>
          <c:marker>
            <c:symbol val="none"/>
          </c:marker>
          <c:cat>
            <c:numRef>
              <c:f>'Wage, price statistics'!$EV$10:$EV$114</c:f>
              <c:numCache>
                <c:formatCode>mmm\-yy</c:formatCode>
                <c:ptCount val="105"/>
                <c:pt idx="0">
                  <c:v>33208</c:v>
                </c:pt>
                <c:pt idx="1">
                  <c:v>33298</c:v>
                </c:pt>
                <c:pt idx="2">
                  <c:v>33390</c:v>
                </c:pt>
                <c:pt idx="3">
                  <c:v>33482</c:v>
                </c:pt>
                <c:pt idx="4">
                  <c:v>33573</c:v>
                </c:pt>
                <c:pt idx="5">
                  <c:v>33664</c:v>
                </c:pt>
                <c:pt idx="6">
                  <c:v>33756</c:v>
                </c:pt>
                <c:pt idx="7">
                  <c:v>33848</c:v>
                </c:pt>
                <c:pt idx="8">
                  <c:v>33939</c:v>
                </c:pt>
                <c:pt idx="9">
                  <c:v>34029</c:v>
                </c:pt>
                <c:pt idx="10">
                  <c:v>34121</c:v>
                </c:pt>
                <c:pt idx="11">
                  <c:v>34213</c:v>
                </c:pt>
                <c:pt idx="12">
                  <c:v>34304</c:v>
                </c:pt>
                <c:pt idx="13">
                  <c:v>34394</c:v>
                </c:pt>
                <c:pt idx="14">
                  <c:v>34486</c:v>
                </c:pt>
                <c:pt idx="15">
                  <c:v>34578</c:v>
                </c:pt>
                <c:pt idx="16">
                  <c:v>34669</c:v>
                </c:pt>
                <c:pt idx="17">
                  <c:v>34759</c:v>
                </c:pt>
                <c:pt idx="18">
                  <c:v>34851</c:v>
                </c:pt>
                <c:pt idx="19">
                  <c:v>34943</c:v>
                </c:pt>
                <c:pt idx="20">
                  <c:v>35034</c:v>
                </c:pt>
                <c:pt idx="21">
                  <c:v>35125</c:v>
                </c:pt>
                <c:pt idx="22">
                  <c:v>35217</c:v>
                </c:pt>
                <c:pt idx="23">
                  <c:v>35309</c:v>
                </c:pt>
                <c:pt idx="24">
                  <c:v>35400</c:v>
                </c:pt>
                <c:pt idx="25">
                  <c:v>35490</c:v>
                </c:pt>
                <c:pt idx="26">
                  <c:v>35582</c:v>
                </c:pt>
                <c:pt idx="27">
                  <c:v>35674</c:v>
                </c:pt>
                <c:pt idx="28">
                  <c:v>35765</c:v>
                </c:pt>
                <c:pt idx="29">
                  <c:v>35855</c:v>
                </c:pt>
                <c:pt idx="30">
                  <c:v>35947</c:v>
                </c:pt>
                <c:pt idx="31">
                  <c:v>36039</c:v>
                </c:pt>
                <c:pt idx="32">
                  <c:v>36130</c:v>
                </c:pt>
                <c:pt idx="33">
                  <c:v>36220</c:v>
                </c:pt>
                <c:pt idx="34">
                  <c:v>36312</c:v>
                </c:pt>
                <c:pt idx="35">
                  <c:v>36404</c:v>
                </c:pt>
                <c:pt idx="36">
                  <c:v>36495</c:v>
                </c:pt>
                <c:pt idx="37">
                  <c:v>36586</c:v>
                </c:pt>
                <c:pt idx="38">
                  <c:v>36678</c:v>
                </c:pt>
                <c:pt idx="39">
                  <c:v>36770</c:v>
                </c:pt>
                <c:pt idx="40">
                  <c:v>36861</c:v>
                </c:pt>
                <c:pt idx="41">
                  <c:v>36951</c:v>
                </c:pt>
                <c:pt idx="42">
                  <c:v>37043</c:v>
                </c:pt>
                <c:pt idx="43">
                  <c:v>37135</c:v>
                </c:pt>
                <c:pt idx="44">
                  <c:v>37226</c:v>
                </c:pt>
                <c:pt idx="45">
                  <c:v>37316</c:v>
                </c:pt>
                <c:pt idx="46">
                  <c:v>37408</c:v>
                </c:pt>
                <c:pt idx="47">
                  <c:v>37500</c:v>
                </c:pt>
                <c:pt idx="48">
                  <c:v>37591</c:v>
                </c:pt>
                <c:pt idx="49">
                  <c:v>37681</c:v>
                </c:pt>
                <c:pt idx="50">
                  <c:v>37773</c:v>
                </c:pt>
                <c:pt idx="51">
                  <c:v>37865</c:v>
                </c:pt>
                <c:pt idx="52">
                  <c:v>37956</c:v>
                </c:pt>
                <c:pt idx="53">
                  <c:v>38047</c:v>
                </c:pt>
                <c:pt idx="54">
                  <c:v>38139</c:v>
                </c:pt>
                <c:pt idx="55">
                  <c:v>38231</c:v>
                </c:pt>
                <c:pt idx="56">
                  <c:v>38322</c:v>
                </c:pt>
                <c:pt idx="57">
                  <c:v>38412</c:v>
                </c:pt>
                <c:pt idx="58">
                  <c:v>38504</c:v>
                </c:pt>
                <c:pt idx="59">
                  <c:v>38596</c:v>
                </c:pt>
                <c:pt idx="60">
                  <c:v>38687</c:v>
                </c:pt>
                <c:pt idx="61">
                  <c:v>38777</c:v>
                </c:pt>
                <c:pt idx="62">
                  <c:v>38869</c:v>
                </c:pt>
                <c:pt idx="63">
                  <c:v>38961</c:v>
                </c:pt>
                <c:pt idx="64">
                  <c:v>39052</c:v>
                </c:pt>
                <c:pt idx="65">
                  <c:v>39142</c:v>
                </c:pt>
                <c:pt idx="66">
                  <c:v>39234</c:v>
                </c:pt>
                <c:pt idx="67">
                  <c:v>39326</c:v>
                </c:pt>
                <c:pt idx="68">
                  <c:v>39417</c:v>
                </c:pt>
                <c:pt idx="69">
                  <c:v>39508</c:v>
                </c:pt>
                <c:pt idx="70">
                  <c:v>39600</c:v>
                </c:pt>
                <c:pt idx="71">
                  <c:v>39692</c:v>
                </c:pt>
                <c:pt idx="72">
                  <c:v>39783</c:v>
                </c:pt>
                <c:pt idx="73">
                  <c:v>39873</c:v>
                </c:pt>
                <c:pt idx="74">
                  <c:v>39965</c:v>
                </c:pt>
                <c:pt idx="75">
                  <c:v>40057</c:v>
                </c:pt>
                <c:pt idx="76">
                  <c:v>40148</c:v>
                </c:pt>
                <c:pt idx="77">
                  <c:v>40238</c:v>
                </c:pt>
                <c:pt idx="78">
                  <c:v>40330</c:v>
                </c:pt>
                <c:pt idx="79">
                  <c:v>40422</c:v>
                </c:pt>
                <c:pt idx="80">
                  <c:v>40513</c:v>
                </c:pt>
                <c:pt idx="81">
                  <c:v>40603</c:v>
                </c:pt>
                <c:pt idx="82">
                  <c:v>40695</c:v>
                </c:pt>
                <c:pt idx="83">
                  <c:v>40787</c:v>
                </c:pt>
                <c:pt idx="84">
                  <c:v>40878</c:v>
                </c:pt>
                <c:pt idx="85">
                  <c:v>40969</c:v>
                </c:pt>
                <c:pt idx="86">
                  <c:v>41061</c:v>
                </c:pt>
                <c:pt idx="87">
                  <c:v>41153</c:v>
                </c:pt>
                <c:pt idx="88">
                  <c:v>41244</c:v>
                </c:pt>
                <c:pt idx="89">
                  <c:v>41334</c:v>
                </c:pt>
                <c:pt idx="90">
                  <c:v>41426</c:v>
                </c:pt>
                <c:pt idx="91">
                  <c:v>41518</c:v>
                </c:pt>
                <c:pt idx="92">
                  <c:v>41609</c:v>
                </c:pt>
                <c:pt idx="93">
                  <c:v>41699</c:v>
                </c:pt>
                <c:pt idx="94">
                  <c:v>41791</c:v>
                </c:pt>
                <c:pt idx="95">
                  <c:v>41883</c:v>
                </c:pt>
                <c:pt idx="96">
                  <c:v>41974</c:v>
                </c:pt>
                <c:pt idx="97">
                  <c:v>42064</c:v>
                </c:pt>
                <c:pt idx="98">
                  <c:v>42156</c:v>
                </c:pt>
                <c:pt idx="99">
                  <c:v>42248</c:v>
                </c:pt>
                <c:pt idx="100">
                  <c:v>42339</c:v>
                </c:pt>
                <c:pt idx="101">
                  <c:v>42430</c:v>
                </c:pt>
                <c:pt idx="102">
                  <c:v>42522</c:v>
                </c:pt>
                <c:pt idx="103">
                  <c:v>42614</c:v>
                </c:pt>
                <c:pt idx="104">
                  <c:v>42705</c:v>
                </c:pt>
              </c:numCache>
            </c:numRef>
          </c:cat>
          <c:val>
            <c:numRef>
              <c:f>'Wage, price statistics'!$EZ$10:$EZ$114</c:f>
              <c:numCache>
                <c:formatCode>0.0%</c:formatCode>
                <c:ptCount val="105"/>
                <c:pt idx="0">
                  <c:v>6.3676316096936469E-2</c:v>
                </c:pt>
                <c:pt idx="1">
                  <c:v>5.8485970024060974E-2</c:v>
                </c:pt>
                <c:pt idx="2">
                  <c:v>5.1393321578494078E-2</c:v>
                </c:pt>
                <c:pt idx="3">
                  <c:v>4.3858921846183341E-2</c:v>
                </c:pt>
                <c:pt idx="4">
                  <c:v>3.5204320756116791E-2</c:v>
                </c:pt>
                <c:pt idx="5">
                  <c:v>3.0935476020299335E-2</c:v>
                </c:pt>
                <c:pt idx="6">
                  <c:v>2.737602889324986E-2</c:v>
                </c:pt>
                <c:pt idx="7">
                  <c:v>2.2201318848358076E-2</c:v>
                </c:pt>
                <c:pt idx="8">
                  <c:v>1.736704541504186E-2</c:v>
                </c:pt>
                <c:pt idx="9">
                  <c:v>1.1180143403416443E-2</c:v>
                </c:pt>
                <c:pt idx="10">
                  <c:v>6.4210176613910264E-3</c:v>
                </c:pt>
                <c:pt idx="11">
                  <c:v>3.5437360995522749E-3</c:v>
                </c:pt>
                <c:pt idx="12">
                  <c:v>1.9326230600489325E-3</c:v>
                </c:pt>
                <c:pt idx="13">
                  <c:v>4.01177961101018E-3</c:v>
                </c:pt>
                <c:pt idx="14">
                  <c:v>6.5001710722101258E-3</c:v>
                </c:pt>
                <c:pt idx="15">
                  <c:v>1.0340300860701923E-2</c:v>
                </c:pt>
                <c:pt idx="16">
                  <c:v>1.4089064930840722E-2</c:v>
                </c:pt>
                <c:pt idx="17">
                  <c:v>1.6507217764644144E-2</c:v>
                </c:pt>
                <c:pt idx="18">
                  <c:v>1.8281991107801154E-2</c:v>
                </c:pt>
                <c:pt idx="19">
                  <c:v>2.0659567787552513E-2</c:v>
                </c:pt>
                <c:pt idx="20">
                  <c:v>2.355777765653233E-2</c:v>
                </c:pt>
                <c:pt idx="21">
                  <c:v>2.6333400815567121E-2</c:v>
                </c:pt>
                <c:pt idx="22">
                  <c:v>3.014539208931355E-2</c:v>
                </c:pt>
                <c:pt idx="23">
                  <c:v>3.2269622563465106E-2</c:v>
                </c:pt>
                <c:pt idx="24">
                  <c:v>3.4491348249435561E-2</c:v>
                </c:pt>
                <c:pt idx="25">
                  <c:v>3.7486147798653224E-2</c:v>
                </c:pt>
                <c:pt idx="26">
                  <c:v>3.7608936152322636E-2</c:v>
                </c:pt>
                <c:pt idx="27">
                  <c:v>3.8388656624815498E-2</c:v>
                </c:pt>
                <c:pt idx="28">
                  <c:v>3.6720772788265466E-2</c:v>
                </c:pt>
                <c:pt idx="29">
                  <c:v>3.2227154333990926E-2</c:v>
                </c:pt>
                <c:pt idx="30">
                  <c:v>3.0375509713970406E-2</c:v>
                </c:pt>
                <c:pt idx="31">
                  <c:v>2.7223379448921392E-2</c:v>
                </c:pt>
                <c:pt idx="32">
                  <c:v>2.6884469521316401E-2</c:v>
                </c:pt>
                <c:pt idx="33">
                  <c:v>2.8001887463552366E-2</c:v>
                </c:pt>
                <c:pt idx="34">
                  <c:v>2.6433393954863993E-2</c:v>
                </c:pt>
                <c:pt idx="35">
                  <c:v>2.7677010487826559E-2</c:v>
                </c:pt>
                <c:pt idx="36">
                  <c:v>2.4464165335221777E-2</c:v>
                </c:pt>
                <c:pt idx="37">
                  <c:v>2.1489885550839194E-2</c:v>
                </c:pt>
                <c:pt idx="38">
                  <c:v>2.0854407904492778E-2</c:v>
                </c:pt>
                <c:pt idx="39">
                  <c:v>1.7722722789328405E-2</c:v>
                </c:pt>
                <c:pt idx="40">
                  <c:v>1.9794306123918748E-2</c:v>
                </c:pt>
                <c:pt idx="41">
                  <c:v>2.3499668044419941E-2</c:v>
                </c:pt>
                <c:pt idx="42">
                  <c:v>2.7013398955520351E-2</c:v>
                </c:pt>
                <c:pt idx="43">
                  <c:v>3.132866153380176E-2</c:v>
                </c:pt>
                <c:pt idx="44">
                  <c:v>3.3402660625814651E-2</c:v>
                </c:pt>
                <c:pt idx="45">
                  <c:v>3.4654519069702516E-2</c:v>
                </c:pt>
                <c:pt idx="46">
                  <c:v>3.2166026839820061E-2</c:v>
                </c:pt>
                <c:pt idx="47">
                  <c:v>3.1175525297404194E-2</c:v>
                </c:pt>
                <c:pt idx="48">
                  <c:v>3.1691394669663531E-2</c:v>
                </c:pt>
                <c:pt idx="49">
                  <c:v>2.8373834016444111E-2</c:v>
                </c:pt>
                <c:pt idx="50">
                  <c:v>3.1710168570719288E-2</c:v>
                </c:pt>
                <c:pt idx="51">
                  <c:v>3.1832057050460216E-2</c:v>
                </c:pt>
                <c:pt idx="52">
                  <c:v>3.1273369015553998E-2</c:v>
                </c:pt>
                <c:pt idx="53">
                  <c:v>3.3940400896457446E-2</c:v>
                </c:pt>
                <c:pt idx="54">
                  <c:v>3.5918748425061153E-2</c:v>
                </c:pt>
                <c:pt idx="55">
                  <c:v>3.6708220721934026E-2</c:v>
                </c:pt>
                <c:pt idx="56">
                  <c:v>3.3820708713766967E-2</c:v>
                </c:pt>
                <c:pt idx="57">
                  <c:v>3.4522024748346869E-2</c:v>
                </c:pt>
                <c:pt idx="58">
                  <c:v>3.2163365581332704E-2</c:v>
                </c:pt>
                <c:pt idx="59">
                  <c:v>3.4246316304840096E-2</c:v>
                </c:pt>
                <c:pt idx="60">
                  <c:v>4.2477145964723295E-2</c:v>
                </c:pt>
                <c:pt idx="61">
                  <c:v>4.6666571709766513E-2</c:v>
                </c:pt>
                <c:pt idx="62">
                  <c:v>4.8993825313149886E-2</c:v>
                </c:pt>
                <c:pt idx="63">
                  <c:v>5.109900832689851E-2</c:v>
                </c:pt>
                <c:pt idx="64">
                  <c:v>4.9904575891289715E-2</c:v>
                </c:pt>
                <c:pt idx="65">
                  <c:v>4.8265770609111414E-2</c:v>
                </c:pt>
                <c:pt idx="66">
                  <c:v>4.7689516695052392E-2</c:v>
                </c:pt>
                <c:pt idx="67">
                  <c:v>4.4835147497442884E-2</c:v>
                </c:pt>
                <c:pt idx="68">
                  <c:v>4.2809105009338211E-2</c:v>
                </c:pt>
                <c:pt idx="69">
                  <c:v>4.2680345890732774E-2</c:v>
                </c:pt>
                <c:pt idx="70">
                  <c:v>4.5322522196327375E-2</c:v>
                </c:pt>
                <c:pt idx="71">
                  <c:v>4.9153163086690377E-2</c:v>
                </c:pt>
                <c:pt idx="72">
                  <c:v>5.2592585269562786E-2</c:v>
                </c:pt>
                <c:pt idx="73">
                  <c:v>5.4475011859911326E-2</c:v>
                </c:pt>
                <c:pt idx="74">
                  <c:v>5.2690017746962914E-2</c:v>
                </c:pt>
                <c:pt idx="75">
                  <c:v>4.8635611183449168E-2</c:v>
                </c:pt>
                <c:pt idx="76">
                  <c:v>4.1532980628195437E-2</c:v>
                </c:pt>
                <c:pt idx="77">
                  <c:v>3.0678294584788768E-2</c:v>
                </c:pt>
                <c:pt idx="78">
                  <c:v>2.1902244413854799E-2</c:v>
                </c:pt>
                <c:pt idx="79">
                  <c:v>1.5409982728710858E-2</c:v>
                </c:pt>
                <c:pt idx="80">
                  <c:v>1.3156905910152172E-2</c:v>
                </c:pt>
                <c:pt idx="81">
                  <c:v>1.6945586348647401E-2</c:v>
                </c:pt>
                <c:pt idx="82">
                  <c:v>2.196433832554967E-2</c:v>
                </c:pt>
                <c:pt idx="83">
                  <c:v>2.6841872050971105E-2</c:v>
                </c:pt>
                <c:pt idx="84">
                  <c:v>2.9346885570495918E-2</c:v>
                </c:pt>
                <c:pt idx="85">
                  <c:v>3.254526143939751E-2</c:v>
                </c:pt>
                <c:pt idx="86">
                  <c:v>3.176508211596385E-2</c:v>
                </c:pt>
                <c:pt idx="87">
                  <c:v>3.055882075176064E-2</c:v>
                </c:pt>
                <c:pt idx="88">
                  <c:v>3.0046704235309862E-2</c:v>
                </c:pt>
                <c:pt idx="89">
                  <c:v>2.5518370656665068E-2</c:v>
                </c:pt>
                <c:pt idx="90">
                  <c:v>2.3679467003067556E-2</c:v>
                </c:pt>
                <c:pt idx="91">
                  <c:v>2.3151949572081554E-2</c:v>
                </c:pt>
                <c:pt idx="92">
                  <c:v>2.3284021191578796E-2</c:v>
                </c:pt>
                <c:pt idx="93">
                  <c:v>2.4362521177959007E-2</c:v>
                </c:pt>
                <c:pt idx="94">
                  <c:v>2.5595385279666649E-2</c:v>
                </c:pt>
                <c:pt idx="95">
                  <c:v>2.5258136781478813E-2</c:v>
                </c:pt>
                <c:pt idx="96">
                  <c:v>2.5214408651094367E-2</c:v>
                </c:pt>
                <c:pt idx="97">
                  <c:v>2.4161337723089371E-2</c:v>
                </c:pt>
                <c:pt idx="98">
                  <c:v>2.4855420930627092E-2</c:v>
                </c:pt>
                <c:pt idx="99">
                  <c:v>2.4587006429305225E-2</c:v>
                </c:pt>
                <c:pt idx="100">
                  <c:v>2.3270380456841488E-2</c:v>
                </c:pt>
                <c:pt idx="101">
                  <c:v>2.4178270289379578E-2</c:v>
                </c:pt>
                <c:pt idx="102">
                  <c:v>2.2594673231513429E-2</c:v>
                </c:pt>
                <c:pt idx="103">
                  <c:v>2.1388381149377356E-2</c:v>
                </c:pt>
                <c:pt idx="104">
                  <c:v>1.9357168973775485E-2</c:v>
                </c:pt>
              </c:numCache>
            </c:numRef>
          </c:val>
          <c:smooth val="0"/>
        </c:ser>
        <c:dLbls>
          <c:showLegendKey val="0"/>
          <c:showVal val="0"/>
          <c:showCatName val="0"/>
          <c:showSerName val="0"/>
          <c:showPercent val="0"/>
          <c:showBubbleSize val="0"/>
        </c:dLbls>
        <c:smooth val="0"/>
        <c:axId val="788651160"/>
        <c:axId val="788648024"/>
      </c:lineChart>
      <c:dateAx>
        <c:axId val="788651160"/>
        <c:scaling>
          <c:orientation val="minMax"/>
        </c:scaling>
        <c:delete val="0"/>
        <c:axPos val="b"/>
        <c:numFmt formatCode="yyyy" sourceLinked="0"/>
        <c:majorTickMark val="out"/>
        <c:minorTickMark val="none"/>
        <c:tickLblPos val="low"/>
        <c:txPr>
          <a:bodyPr rot="-2700000" vert="horz"/>
          <a:lstStyle/>
          <a:p>
            <a:pPr>
              <a:defRPr sz="1000" b="0" i="0" u="none" strike="noStrike" baseline="0">
                <a:solidFill>
                  <a:srgbClr val="000000"/>
                </a:solidFill>
                <a:latin typeface="Calibri"/>
                <a:ea typeface="Calibri"/>
                <a:cs typeface="Calibri"/>
              </a:defRPr>
            </a:pPr>
            <a:endParaRPr lang="en-US"/>
          </a:p>
        </c:txPr>
        <c:crossAx val="788648024"/>
        <c:crosses val="autoZero"/>
        <c:auto val="1"/>
        <c:lblOffset val="100"/>
        <c:baseTimeUnit val="months"/>
      </c:dateAx>
      <c:valAx>
        <c:axId val="788648024"/>
        <c:scaling>
          <c:orientation val="minMax"/>
          <c:min val="0"/>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88651160"/>
        <c:crosses val="autoZero"/>
        <c:crossBetween val="between"/>
      </c:valAx>
    </c:plotArea>
    <c:legend>
      <c:legendPos val="r"/>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425341004035618E-2"/>
          <c:y val="3.3952659587276363E-2"/>
          <c:w val="0.89736807987199563"/>
          <c:h val="0.93209468082544733"/>
        </c:manualLayout>
      </c:layout>
      <c:lineChart>
        <c:grouping val="standard"/>
        <c:varyColors val="0"/>
        <c:ser>
          <c:idx val="1"/>
          <c:order val="0"/>
          <c:tx>
            <c:v>Health PPI(I)</c:v>
          </c:tx>
          <c:marker>
            <c:symbol val="none"/>
          </c:marker>
          <c:cat>
            <c:numRef>
              <c:f>'Wage, price statistics'!$A$7:$A$43</c:f>
              <c:numCache>
                <c:formatCode>mmm\-yy</c:formatCode>
                <c:ptCount val="37"/>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numCache>
            </c:numRef>
          </c:cat>
          <c:val>
            <c:numRef>
              <c:f>'Wage, price statistics'!$D$7:$D$43</c:f>
              <c:numCache>
                <c:formatCode>0.0%</c:formatCode>
                <c:ptCount val="37"/>
                <c:pt idx="0">
                  <c:v>4.5681063047573911E-2</c:v>
                </c:pt>
                <c:pt idx="1">
                  <c:v>5.414274031034183E-2</c:v>
                </c:pt>
                <c:pt idx="2">
                  <c:v>5.8775509977823992E-2</c:v>
                </c:pt>
                <c:pt idx="3">
                  <c:v>4.8426149928181506E-2</c:v>
                </c:pt>
                <c:pt idx="4">
                  <c:v>3.8125496289575178E-2</c:v>
                </c:pt>
                <c:pt idx="5">
                  <c:v>2.6459143701085042E-2</c:v>
                </c:pt>
                <c:pt idx="6">
                  <c:v>2.390131071469237E-2</c:v>
                </c:pt>
                <c:pt idx="7">
                  <c:v>1.2317167342480007E-2</c:v>
                </c:pt>
                <c:pt idx="8">
                  <c:v>9.1813312614519305E-3</c:v>
                </c:pt>
                <c:pt idx="9">
                  <c:v>-7.5814969541898591E-4</c:v>
                </c:pt>
                <c:pt idx="10">
                  <c:v>-3.0120485121480911E-3</c:v>
                </c:pt>
                <c:pt idx="11">
                  <c:v>7.604558536731254E-4</c:v>
                </c:pt>
                <c:pt idx="12">
                  <c:v>7.7028054151773162E-3</c:v>
                </c:pt>
                <c:pt idx="13">
                  <c:v>1.3459787393889533E-2</c:v>
                </c:pt>
                <c:pt idx="14">
                  <c:v>1.3836858364407512E-2</c:v>
                </c:pt>
                <c:pt idx="15">
                  <c:v>2.4000000000000021E-2</c:v>
                </c:pt>
                <c:pt idx="16">
                  <c:v>1.6831683168316847E-2</c:v>
                </c:pt>
                <c:pt idx="17">
                  <c:v>1.9704433497536922E-2</c:v>
                </c:pt>
                <c:pt idx="18">
                  <c:v>2.2549019607843057E-2</c:v>
                </c:pt>
                <c:pt idx="19">
                  <c:v>1.46484375E-2</c:v>
                </c:pt>
                <c:pt idx="20">
                  <c:v>1.7526777020447915E-2</c:v>
                </c:pt>
                <c:pt idx="21">
                  <c:v>-1.9323671497584183E-3</c:v>
                </c:pt>
                <c:pt idx="22">
                  <c:v>-4.7938638542665002E-3</c:v>
                </c:pt>
                <c:pt idx="23">
                  <c:v>-3.8498556304138454E-3</c:v>
                </c:pt>
                <c:pt idx="24">
                  <c:v>-3.827751196172291E-3</c:v>
                </c:pt>
                <c:pt idx="25">
                  <c:v>9.6805421103580702E-3</c:v>
                </c:pt>
                <c:pt idx="26">
                  <c:v>8.6705202312138407E-3</c:v>
                </c:pt>
                <c:pt idx="27">
                  <c:v>1.0628019323671412E-2</c:v>
                </c:pt>
                <c:pt idx="28">
                  <c:v>5.7636887608070175E-3</c:v>
                </c:pt>
                <c:pt idx="29">
                  <c:v>6.7114093959732557E-3</c:v>
                </c:pt>
                <c:pt idx="30">
                  <c:v>5.7306590257879542E-3</c:v>
                </c:pt>
                <c:pt idx="31">
                  <c:v>5.7361376673039643E-3</c:v>
                </c:pt>
                <c:pt idx="32">
                  <c:v>5.7306590257879542E-3</c:v>
                </c:pt>
                <c:pt idx="33">
                  <c:v>5.7142857142857828E-3</c:v>
                </c:pt>
                <c:pt idx="34">
                  <c:v>8.5470085470085166E-3</c:v>
                </c:pt>
                <c:pt idx="35">
                  <c:v>1.1406844106463865E-2</c:v>
                </c:pt>
                <c:pt idx="36">
                  <c:v>1.5194681861348425E-2</c:v>
                </c:pt>
              </c:numCache>
            </c:numRef>
          </c:val>
          <c:smooth val="0"/>
        </c:ser>
        <c:ser>
          <c:idx val="0"/>
          <c:order val="1"/>
          <c:tx>
            <c:v>CPI</c:v>
          </c:tx>
          <c:marker>
            <c:symbol val="none"/>
          </c:marker>
          <c:cat>
            <c:numRef>
              <c:f>'Wage, price statistics'!$A$7:$A$43</c:f>
              <c:numCache>
                <c:formatCode>mmm\-yy</c:formatCode>
                <c:ptCount val="37"/>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numCache>
            </c:numRef>
          </c:cat>
          <c:val>
            <c:numRef>
              <c:f>'Wage, price statistics'!$S$7:$S$43</c:f>
              <c:numCache>
                <c:formatCode>0.0%</c:formatCode>
                <c:ptCount val="37"/>
                <c:pt idx="0">
                  <c:v>3.3663365978484627E-2</c:v>
                </c:pt>
                <c:pt idx="1">
                  <c:v>4.0196078314711725E-2</c:v>
                </c:pt>
                <c:pt idx="2">
                  <c:v>5.073170777917535E-2</c:v>
                </c:pt>
                <c:pt idx="3">
                  <c:v>3.3751204221356579E-2</c:v>
                </c:pt>
                <c:pt idx="4">
                  <c:v>2.9693487493282156E-2</c:v>
                </c:pt>
                <c:pt idx="5">
                  <c:v>1.8850141718031344E-2</c:v>
                </c:pt>
                <c:pt idx="6">
                  <c:v>1.6713091541499692E-2</c:v>
                </c:pt>
                <c:pt idx="7">
                  <c:v>1.9589552949323963E-2</c:v>
                </c:pt>
                <c:pt idx="8">
                  <c:v>2.0465116184649856E-2</c:v>
                </c:pt>
                <c:pt idx="9">
                  <c:v>1.6651248459673029E-2</c:v>
                </c:pt>
                <c:pt idx="10">
                  <c:v>1.4611872192131115E-2</c:v>
                </c:pt>
                <c:pt idx="11">
                  <c:v>1.9926806790495188E-2</c:v>
                </c:pt>
                <c:pt idx="12">
                  <c:v>2.4251700447258884E-2</c:v>
                </c:pt>
                <c:pt idx="13">
                  <c:v>3.2201225837320768E-2</c:v>
                </c:pt>
                <c:pt idx="14">
                  <c:v>2.5464836797409296E-2</c:v>
                </c:pt>
                <c:pt idx="15">
                  <c:v>1.8469656573861126E-2</c:v>
                </c:pt>
                <c:pt idx="16">
                  <c:v>1.570680699966176E-2</c:v>
                </c:pt>
                <c:pt idx="17">
                  <c:v>9.5073460145087552E-3</c:v>
                </c:pt>
                <c:pt idx="18">
                  <c:v>7.745266607078527E-3</c:v>
                </c:pt>
                <c:pt idx="19">
                  <c:v>9.4991369367605216E-3</c:v>
                </c:pt>
                <c:pt idx="20">
                  <c:v>8.5910643908491124E-3</c:v>
                </c:pt>
                <c:pt idx="21">
                  <c:v>6.8493156148901058E-3</c:v>
                </c:pt>
                <c:pt idx="22">
                  <c:v>1.3663535483604772E-2</c:v>
                </c:pt>
                <c:pt idx="23">
                  <c:v>1.6253207850237095E-2</c:v>
                </c:pt>
                <c:pt idx="24">
                  <c:v>1.5332198317709933E-2</c:v>
                </c:pt>
                <c:pt idx="25">
                  <c:v>1.6156462561985219E-2</c:v>
                </c:pt>
                <c:pt idx="26">
                  <c:v>1.0109520604429267E-2</c:v>
                </c:pt>
                <c:pt idx="27">
                  <c:v>7.5757574037598197E-3</c:v>
                </c:pt>
                <c:pt idx="28">
                  <c:v>2.5167784656785486E-3</c:v>
                </c:pt>
                <c:pt idx="29">
                  <c:v>4.1840999805606849E-3</c:v>
                </c:pt>
                <c:pt idx="30">
                  <c:v>4.1701413473294036E-3</c:v>
                </c:pt>
                <c:pt idx="31">
                  <c:v>8.3542221063814814E-4</c:v>
                </c:pt>
                <c:pt idx="32">
                  <c:v>4.1840999805604628E-3</c:v>
                </c:pt>
                <c:pt idx="33">
                  <c:v>4.166667254124734E-3</c:v>
                </c:pt>
                <c:pt idx="34">
                  <c:v>4.1528234864003366E-3</c:v>
                </c:pt>
                <c:pt idx="35">
                  <c:v>1.3355592690301732E-2</c:v>
                </c:pt>
                <c:pt idx="36">
                  <c:v>2.1666666860783224E-2</c:v>
                </c:pt>
              </c:numCache>
            </c:numRef>
          </c:val>
          <c:smooth val="0"/>
        </c:ser>
        <c:ser>
          <c:idx val="2"/>
          <c:order val="2"/>
          <c:tx>
            <c:v>Health in the CPI</c:v>
          </c:tx>
          <c:marker>
            <c:symbol val="none"/>
          </c:marker>
          <c:cat>
            <c:numRef>
              <c:f>'Wage, price statistics'!$A$7:$A$43</c:f>
              <c:numCache>
                <c:formatCode>mmm\-yy</c:formatCode>
                <c:ptCount val="37"/>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numCache>
            </c:numRef>
          </c:cat>
          <c:val>
            <c:numRef>
              <c:f>'Wage, price statistics'!$Z$7:$Z$43</c:f>
              <c:numCache>
                <c:formatCode>0.0%</c:formatCode>
                <c:ptCount val="37"/>
                <c:pt idx="0">
                  <c:v>-4.9751247598475157E-3</c:v>
                </c:pt>
                <c:pt idx="1">
                  <c:v>-1.3671876047019915E-2</c:v>
                </c:pt>
                <c:pt idx="2">
                  <c:v>3.2258064346123883E-2</c:v>
                </c:pt>
                <c:pt idx="3">
                  <c:v>3.4136546203184182E-2</c:v>
                </c:pt>
                <c:pt idx="4">
                  <c:v>3.8000000316293914E-2</c:v>
                </c:pt>
                <c:pt idx="5">
                  <c:v>3.663366362258591E-2</c:v>
                </c:pt>
                <c:pt idx="6">
                  <c:v>3.7109374012809671E-2</c:v>
                </c:pt>
                <c:pt idx="7">
                  <c:v>3.6893204201344121E-2</c:v>
                </c:pt>
                <c:pt idx="8">
                  <c:v>3.8535644654461798E-2</c:v>
                </c:pt>
                <c:pt idx="9">
                  <c:v>3.7249284053924026E-2</c:v>
                </c:pt>
                <c:pt idx="10">
                  <c:v>3.2956685592925083E-2</c:v>
                </c:pt>
                <c:pt idx="11">
                  <c:v>5.1554307786641607E-2</c:v>
                </c:pt>
                <c:pt idx="12">
                  <c:v>4.998844761528054E-2</c:v>
                </c:pt>
                <c:pt idx="13">
                  <c:v>4.586639032811668E-2</c:v>
                </c:pt>
                <c:pt idx="14">
                  <c:v>4.4320222542964416E-2</c:v>
                </c:pt>
                <c:pt idx="15">
                  <c:v>2.5327510571095724E-2</c:v>
                </c:pt>
                <c:pt idx="16">
                  <c:v>1.993067631226908E-2</c:v>
                </c:pt>
                <c:pt idx="17">
                  <c:v>2.0725387934360517E-2</c:v>
                </c:pt>
                <c:pt idx="18">
                  <c:v>2.1404110122676956E-2</c:v>
                </c:pt>
                <c:pt idx="19">
                  <c:v>2.7257240071669298E-2</c:v>
                </c:pt>
                <c:pt idx="20">
                  <c:v>3.7383177103081699E-2</c:v>
                </c:pt>
                <c:pt idx="21">
                  <c:v>3.97631142334407E-2</c:v>
                </c:pt>
                <c:pt idx="22">
                  <c:v>3.6881810103366997E-2</c:v>
                </c:pt>
                <c:pt idx="23">
                  <c:v>2.9021558937905034E-2</c:v>
                </c:pt>
                <c:pt idx="24">
                  <c:v>2.1294021864743939E-2</c:v>
                </c:pt>
                <c:pt idx="25">
                  <c:v>1.7087061833979567E-2</c:v>
                </c:pt>
                <c:pt idx="26">
                  <c:v>1.9401778936251501E-2</c:v>
                </c:pt>
                <c:pt idx="27">
                  <c:v>2.0950845596245937E-2</c:v>
                </c:pt>
                <c:pt idx="28">
                  <c:v>1.7642340873515128E-2</c:v>
                </c:pt>
                <c:pt idx="29">
                  <c:v>1.7600000316189357E-2</c:v>
                </c:pt>
                <c:pt idx="30">
                  <c:v>2.379064417207255E-3</c:v>
                </c:pt>
                <c:pt idx="31">
                  <c:v>3.157064174799773E-3</c:v>
                </c:pt>
                <c:pt idx="32">
                  <c:v>7.8802212548922945E-4</c:v>
                </c:pt>
                <c:pt idx="33">
                  <c:v>0</c:v>
                </c:pt>
                <c:pt idx="34">
                  <c:v>1.898734115697609E-2</c:v>
                </c:pt>
                <c:pt idx="35">
                  <c:v>2.0456334144950405E-2</c:v>
                </c:pt>
                <c:pt idx="36">
                  <c:v>2.6771653551410424E-2</c:v>
                </c:pt>
              </c:numCache>
            </c:numRef>
          </c:val>
          <c:smooth val="0"/>
        </c:ser>
        <c:ser>
          <c:idx val="3"/>
          <c:order val="3"/>
          <c:tx>
            <c:strRef>
              <c:f>'Wage, price statistics'!$G$2</c:f>
              <c:strCache>
                <c:ptCount val="1"/>
                <c:pt idx="0">
                  <c:v>Hospitals</c:v>
                </c:pt>
              </c:strCache>
            </c:strRef>
          </c:tx>
          <c:marker>
            <c:symbol val="none"/>
          </c:marker>
          <c:cat>
            <c:numRef>
              <c:f>'Wage, price statistics'!$A$7:$A$43</c:f>
              <c:numCache>
                <c:formatCode>mmm\-yy</c:formatCode>
                <c:ptCount val="37"/>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numCache>
            </c:numRef>
          </c:cat>
          <c:val>
            <c:numRef>
              <c:f>'Wage, price statistics'!$H$7:$H$43</c:f>
              <c:numCache>
                <c:formatCode>0.0%</c:formatCode>
                <c:ptCount val="37"/>
                <c:pt idx="0">
                  <c:v>4.9342105263157965E-2</c:v>
                </c:pt>
                <c:pt idx="1">
                  <c:v>6.5430752453653263E-2</c:v>
                </c:pt>
                <c:pt idx="2">
                  <c:v>6.7245119305856749E-2</c:v>
                </c:pt>
                <c:pt idx="3">
                  <c:v>5.2350427350427386E-2</c:v>
                </c:pt>
                <c:pt idx="4">
                  <c:v>3.3437826541274918E-2</c:v>
                </c:pt>
                <c:pt idx="5">
                  <c:v>1.7400204708290623E-2</c:v>
                </c:pt>
                <c:pt idx="6">
                  <c:v>1.5243902439024293E-2</c:v>
                </c:pt>
                <c:pt idx="7">
                  <c:v>7.1065989847716171E-3</c:v>
                </c:pt>
                <c:pt idx="8">
                  <c:v>6.0667340748230547E-3</c:v>
                </c:pt>
                <c:pt idx="9">
                  <c:v>5.0301810865192031E-3</c:v>
                </c:pt>
                <c:pt idx="10">
                  <c:v>5.0050050050050032E-3</c:v>
                </c:pt>
                <c:pt idx="11">
                  <c:v>8.0645161290322509E-3</c:v>
                </c:pt>
                <c:pt idx="12">
                  <c:v>1.306532663316573E-2</c:v>
                </c:pt>
                <c:pt idx="13">
                  <c:v>1.1011011011011096E-2</c:v>
                </c:pt>
                <c:pt idx="14">
                  <c:v>1.195219123505975E-2</c:v>
                </c:pt>
                <c:pt idx="15">
                  <c:v>1.6999999999999904E-2</c:v>
                </c:pt>
                <c:pt idx="16">
                  <c:v>9.9206349206348854E-3</c:v>
                </c:pt>
                <c:pt idx="17">
                  <c:v>1.7821782178217838E-2</c:v>
                </c:pt>
                <c:pt idx="18">
                  <c:v>2.5590551181102317E-2</c:v>
                </c:pt>
                <c:pt idx="19">
                  <c:v>1.1799410029498469E-2</c:v>
                </c:pt>
                <c:pt idx="20">
                  <c:v>1.6699410609037235E-2</c:v>
                </c:pt>
                <c:pt idx="21">
                  <c:v>-1.0700389105058328E-2</c:v>
                </c:pt>
                <c:pt idx="22">
                  <c:v>-1.9193857965451033E-2</c:v>
                </c:pt>
                <c:pt idx="23">
                  <c:v>-1.1661807580174877E-2</c:v>
                </c:pt>
                <c:pt idx="24">
                  <c:v>-1.2560386473429941E-2</c:v>
                </c:pt>
                <c:pt idx="25">
                  <c:v>4.9164208456244918E-3</c:v>
                </c:pt>
                <c:pt idx="26">
                  <c:v>0</c:v>
                </c:pt>
                <c:pt idx="27">
                  <c:v>5.8997050147493457E-3</c:v>
                </c:pt>
                <c:pt idx="28">
                  <c:v>1.9569471624265589E-3</c:v>
                </c:pt>
                <c:pt idx="29">
                  <c:v>3.9138943248533398E-3</c:v>
                </c:pt>
                <c:pt idx="30">
                  <c:v>8.8062622309197369E-3</c:v>
                </c:pt>
                <c:pt idx="31">
                  <c:v>8.7976539589442737E-3</c:v>
                </c:pt>
                <c:pt idx="32">
                  <c:v>6.8359375E-3</c:v>
                </c:pt>
                <c:pt idx="33">
                  <c:v>5.8479532163742132E-3</c:v>
                </c:pt>
                <c:pt idx="34">
                  <c:v>4.8496605237633439E-3</c:v>
                </c:pt>
                <c:pt idx="35">
                  <c:v>5.8139534883721034E-3</c:v>
                </c:pt>
                <c:pt idx="36">
                  <c:v>1.2609117361784605E-2</c:v>
                </c:pt>
              </c:numCache>
            </c:numRef>
          </c:val>
          <c:smooth val="0"/>
        </c:ser>
        <c:ser>
          <c:idx val="5"/>
          <c:order val="4"/>
          <c:tx>
            <c:strRef>
              <c:f>'Wage, price statistics'!$I$2</c:f>
              <c:strCache>
                <c:ptCount val="1"/>
                <c:pt idx="0">
                  <c:v>Medical and Other Health Care Services</c:v>
                </c:pt>
              </c:strCache>
            </c:strRef>
          </c:tx>
          <c:marker>
            <c:symbol val="none"/>
          </c:marker>
          <c:cat>
            <c:numRef>
              <c:f>'Wage, price statistics'!$A$7:$A$43</c:f>
              <c:numCache>
                <c:formatCode>mmm\-yy</c:formatCode>
                <c:ptCount val="37"/>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numCache>
            </c:numRef>
          </c:cat>
          <c:val>
            <c:numRef>
              <c:f>'Wage, price statistics'!$J$7:$J$43</c:f>
              <c:numCache>
                <c:formatCode>0.0%</c:formatCode>
                <c:ptCount val="37"/>
                <c:pt idx="0">
                  <c:v>4.2643923240938131E-2</c:v>
                </c:pt>
                <c:pt idx="1">
                  <c:v>3.5490605427974886E-2</c:v>
                </c:pt>
                <c:pt idx="2">
                  <c:v>4.2708333333333348E-2</c:v>
                </c:pt>
                <c:pt idx="3">
                  <c:v>3.8223140495867725E-2</c:v>
                </c:pt>
                <c:pt idx="4">
                  <c:v>3.7832310838445737E-2</c:v>
                </c:pt>
                <c:pt idx="5">
                  <c:v>3.4274193548387011E-2</c:v>
                </c:pt>
                <c:pt idx="6">
                  <c:v>2.7972027972027913E-2</c:v>
                </c:pt>
                <c:pt idx="7">
                  <c:v>1.1940298507462588E-2</c:v>
                </c:pt>
                <c:pt idx="8">
                  <c:v>2.9556650246305161E-3</c:v>
                </c:pt>
                <c:pt idx="9">
                  <c:v>-1.6569200779727122E-2</c:v>
                </c:pt>
                <c:pt idx="10">
                  <c:v>-1.5549076773566539E-2</c:v>
                </c:pt>
                <c:pt idx="11">
                  <c:v>-1.6715830875122961E-2</c:v>
                </c:pt>
                <c:pt idx="12">
                  <c:v>-6.8762278978389269E-3</c:v>
                </c:pt>
                <c:pt idx="13">
                  <c:v>7.9286422200197659E-3</c:v>
                </c:pt>
                <c:pt idx="14">
                  <c:v>7.8973346495556651E-3</c:v>
                </c:pt>
                <c:pt idx="15">
                  <c:v>2.8000000000000025E-2</c:v>
                </c:pt>
                <c:pt idx="16">
                  <c:v>1.9782393669633969E-2</c:v>
                </c:pt>
                <c:pt idx="17">
                  <c:v>1.8682399213372669E-2</c:v>
                </c:pt>
                <c:pt idx="18">
                  <c:v>2.0568070519098924E-2</c:v>
                </c:pt>
                <c:pt idx="19">
                  <c:v>1.6536964980544688E-2</c:v>
                </c:pt>
                <c:pt idx="20">
                  <c:v>1.8428709990300662E-2</c:v>
                </c:pt>
                <c:pt idx="21">
                  <c:v>9.6525096525090781E-4</c:v>
                </c:pt>
                <c:pt idx="22">
                  <c:v>1.9193857965451588E-3</c:v>
                </c:pt>
                <c:pt idx="23">
                  <c:v>-9.5693779904304499E-4</c:v>
                </c:pt>
                <c:pt idx="24">
                  <c:v>9.5238095238103782E-4</c:v>
                </c:pt>
                <c:pt idx="25">
                  <c:v>1.4464802314368308E-2</c:v>
                </c:pt>
                <c:pt idx="26">
                  <c:v>1.4367816091954033E-2</c:v>
                </c:pt>
                <c:pt idx="27">
                  <c:v>1.3409961685823646E-2</c:v>
                </c:pt>
                <c:pt idx="28">
                  <c:v>8.5632730732636553E-3</c:v>
                </c:pt>
                <c:pt idx="29">
                  <c:v>1.0456273764258617E-2</c:v>
                </c:pt>
                <c:pt idx="30">
                  <c:v>2.8328611898016387E-3</c:v>
                </c:pt>
                <c:pt idx="31">
                  <c:v>3.780718336483968E-3</c:v>
                </c:pt>
                <c:pt idx="32">
                  <c:v>2.8301886792452269E-3</c:v>
                </c:pt>
                <c:pt idx="33">
                  <c:v>3.7629350893697566E-3</c:v>
                </c:pt>
                <c:pt idx="34">
                  <c:v>1.0357815442561202E-2</c:v>
                </c:pt>
                <c:pt idx="35">
                  <c:v>1.6007532956685555E-2</c:v>
                </c:pt>
                <c:pt idx="36">
                  <c:v>1.8814675446848561E-2</c:v>
                </c:pt>
              </c:numCache>
            </c:numRef>
          </c:val>
          <c:smooth val="0"/>
        </c:ser>
        <c:ser>
          <c:idx val="4"/>
          <c:order val="5"/>
          <c:tx>
            <c:strRef>
              <c:f>'Wage, price statistics'!$K$2</c:f>
              <c:strCache>
                <c:ptCount val="1"/>
                <c:pt idx="0">
                  <c:v>Residential Care Services and Social Assistance</c:v>
                </c:pt>
              </c:strCache>
            </c:strRef>
          </c:tx>
          <c:marker>
            <c:symbol val="none"/>
          </c:marker>
          <c:cat>
            <c:numRef>
              <c:f>'Wage, price statistics'!$A$7:$A$43</c:f>
              <c:numCache>
                <c:formatCode>mmm\-yy</c:formatCode>
                <c:ptCount val="37"/>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numCache>
            </c:numRef>
          </c:cat>
          <c:val>
            <c:numRef>
              <c:f>'Wage, price statistics'!$L$7:$L$43</c:f>
              <c:numCache>
                <c:formatCode>0.0%</c:formatCode>
                <c:ptCount val="37"/>
                <c:pt idx="0">
                  <c:v>3.950338600451464E-2</c:v>
                </c:pt>
                <c:pt idx="1">
                  <c:v>5.7777777777777706E-2</c:v>
                </c:pt>
                <c:pt idx="2">
                  <c:v>6.9613259668508398E-2</c:v>
                </c:pt>
                <c:pt idx="3">
                  <c:v>5.9145673603504978E-2</c:v>
                </c:pt>
                <c:pt idx="4">
                  <c:v>5.4288816503800241E-2</c:v>
                </c:pt>
                <c:pt idx="5">
                  <c:v>3.8865546218487479E-2</c:v>
                </c:pt>
                <c:pt idx="6">
                  <c:v>3.9256198347107363E-2</c:v>
                </c:pt>
                <c:pt idx="7">
                  <c:v>2.4819027921406445E-2</c:v>
                </c:pt>
                <c:pt idx="8">
                  <c:v>2.5746652935118464E-2</c:v>
                </c:pt>
                <c:pt idx="9">
                  <c:v>7.0778564206268602E-3</c:v>
                </c:pt>
                <c:pt idx="10">
                  <c:v>-3.9761431411531323E-3</c:v>
                </c:pt>
                <c:pt idx="11">
                  <c:v>9.0817356205852295E-3</c:v>
                </c:pt>
                <c:pt idx="12">
                  <c:v>1.6064257028112428E-2</c:v>
                </c:pt>
                <c:pt idx="13">
                  <c:v>2.2088353413654671E-2</c:v>
                </c:pt>
                <c:pt idx="14">
                  <c:v>2.39520958083832E-2</c:v>
                </c:pt>
                <c:pt idx="15">
                  <c:v>2.8999999999999915E-2</c:v>
                </c:pt>
                <c:pt idx="16">
                  <c:v>2.1739130434782705E-2</c:v>
                </c:pt>
                <c:pt idx="17">
                  <c:v>2.5540275049115824E-2</c:v>
                </c:pt>
                <c:pt idx="18">
                  <c:v>2.0467836257309857E-2</c:v>
                </c:pt>
                <c:pt idx="19">
                  <c:v>1.554907677356665E-2</c:v>
                </c:pt>
                <c:pt idx="20">
                  <c:v>1.837524177949712E-2</c:v>
                </c:pt>
                <c:pt idx="21">
                  <c:v>1.0536398467432928E-2</c:v>
                </c:pt>
                <c:pt idx="22">
                  <c:v>9.5510983763131829E-3</c:v>
                </c:pt>
                <c:pt idx="23">
                  <c:v>3.82775119617218E-3</c:v>
                </c:pt>
                <c:pt idx="24">
                  <c:v>2.8490028490029129E-3</c:v>
                </c:pt>
                <c:pt idx="25">
                  <c:v>8.5308056872037685E-3</c:v>
                </c:pt>
                <c:pt idx="26">
                  <c:v>9.4607379375590828E-3</c:v>
                </c:pt>
                <c:pt idx="27">
                  <c:v>1.2392755004766443E-2</c:v>
                </c:pt>
                <c:pt idx="28">
                  <c:v>5.6818181818181213E-3</c:v>
                </c:pt>
                <c:pt idx="29">
                  <c:v>6.5789473684210176E-3</c:v>
                </c:pt>
                <c:pt idx="30">
                  <c:v>6.5604498594189486E-3</c:v>
                </c:pt>
                <c:pt idx="31">
                  <c:v>5.6497175141243527E-3</c:v>
                </c:pt>
                <c:pt idx="32">
                  <c:v>7.532956685499137E-3</c:v>
                </c:pt>
                <c:pt idx="33">
                  <c:v>8.4033613445377853E-3</c:v>
                </c:pt>
                <c:pt idx="34">
                  <c:v>9.3109869646181842E-3</c:v>
                </c:pt>
                <c:pt idx="35">
                  <c:v>1.0299625468164875E-2</c:v>
                </c:pt>
                <c:pt idx="36">
                  <c:v>1.6822429906542036E-2</c:v>
                </c:pt>
              </c:numCache>
            </c:numRef>
          </c:val>
          <c:smooth val="0"/>
        </c:ser>
        <c:dLbls>
          <c:showLegendKey val="0"/>
          <c:showVal val="0"/>
          <c:showCatName val="0"/>
          <c:showSerName val="0"/>
          <c:showPercent val="0"/>
          <c:showBubbleSize val="0"/>
        </c:dLbls>
        <c:smooth val="0"/>
        <c:axId val="788648808"/>
        <c:axId val="788733408"/>
      </c:lineChart>
      <c:dateAx>
        <c:axId val="788648808"/>
        <c:scaling>
          <c:orientation val="minMax"/>
        </c:scaling>
        <c:delete val="0"/>
        <c:axPos val="b"/>
        <c:numFmt formatCode="mmm\-yy"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88733408"/>
        <c:crosses val="autoZero"/>
        <c:auto val="1"/>
        <c:lblOffset val="100"/>
        <c:baseTimeUnit val="months"/>
        <c:majorUnit val="12"/>
        <c:majorTimeUnit val="months"/>
      </c:dateAx>
      <c:valAx>
        <c:axId val="788733408"/>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88648808"/>
        <c:crosses val="autoZero"/>
        <c:crossBetween val="between"/>
      </c:valAx>
    </c:plotArea>
    <c:legend>
      <c:legendPos val="r"/>
      <c:layout>
        <c:manualLayout>
          <c:xMode val="edge"/>
          <c:yMode val="edge"/>
          <c:x val="0.64328286291540882"/>
          <c:y val="9.8309813546034006E-2"/>
          <c:w val="0.27196624445968276"/>
          <c:h val="0.24629580393359918"/>
        </c:manualLayout>
      </c:layout>
      <c:overlay val="0"/>
      <c:spPr>
        <a:solidFill>
          <a:schemeClr val="bg1"/>
        </a:solidFill>
      </c:spPr>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'Wage, price statistics'!$AF$2</c:f>
              <c:strCache>
                <c:ptCount val="1"/>
                <c:pt idx="0">
                  <c:v>Total Both Sexes</c:v>
                </c:pt>
              </c:strCache>
            </c:strRef>
          </c:tx>
          <c:marker>
            <c:symbol val="none"/>
          </c:marker>
          <c:cat>
            <c:numRef>
              <c:f>'Wage, price statistics'!$A$33:$A$52</c:f>
              <c:numCache>
                <c:formatCode>mmm\-yy</c:formatCode>
                <c:ptCount val="20"/>
                <c:pt idx="0">
                  <c:v>41883</c:v>
                </c:pt>
                <c:pt idx="1">
                  <c:v>41974</c:v>
                </c:pt>
                <c:pt idx="2">
                  <c:v>42064</c:v>
                </c:pt>
                <c:pt idx="3">
                  <c:v>42156</c:v>
                </c:pt>
                <c:pt idx="4">
                  <c:v>42248</c:v>
                </c:pt>
                <c:pt idx="5">
                  <c:v>42339</c:v>
                </c:pt>
                <c:pt idx="6">
                  <c:v>42430</c:v>
                </c:pt>
                <c:pt idx="7">
                  <c:v>42522</c:v>
                </c:pt>
                <c:pt idx="8">
                  <c:v>42614</c:v>
                </c:pt>
                <c:pt idx="9">
                  <c:v>42705</c:v>
                </c:pt>
                <c:pt idx="10">
                  <c:v>42795</c:v>
                </c:pt>
                <c:pt idx="11">
                  <c:v>42887</c:v>
                </c:pt>
                <c:pt idx="12">
                  <c:v>42979</c:v>
                </c:pt>
                <c:pt idx="13">
                  <c:v>43070</c:v>
                </c:pt>
                <c:pt idx="14">
                  <c:v>43160</c:v>
                </c:pt>
                <c:pt idx="15">
                  <c:v>43252</c:v>
                </c:pt>
                <c:pt idx="16">
                  <c:v>43344</c:v>
                </c:pt>
                <c:pt idx="17">
                  <c:v>43435</c:v>
                </c:pt>
                <c:pt idx="18">
                  <c:v>43525</c:v>
                </c:pt>
                <c:pt idx="19">
                  <c:v>43617</c:v>
                </c:pt>
              </c:numCache>
            </c:numRef>
          </c:cat>
          <c:val>
            <c:numRef>
              <c:f>'Wage, price statistics'!$AF$33:$AF$51</c:f>
              <c:numCache>
                <c:formatCode>General</c:formatCode>
                <c:ptCount val="19"/>
                <c:pt idx="0">
                  <c:v>29.35</c:v>
                </c:pt>
                <c:pt idx="1">
                  <c:v>29.82</c:v>
                </c:pt>
                <c:pt idx="2">
                  <c:v>29.82</c:v>
                </c:pt>
                <c:pt idx="3">
                  <c:v>29.84</c:v>
                </c:pt>
                <c:pt idx="4">
                  <c:v>29.81</c:v>
                </c:pt>
                <c:pt idx="5">
                  <c:v>30.26</c:v>
                </c:pt>
                <c:pt idx="6">
                  <c:v>30.35</c:v>
                </c:pt>
                <c:pt idx="7">
                  <c:v>30.04</c:v>
                </c:pt>
                <c:pt idx="8">
                  <c:v>30.21</c:v>
                </c:pt>
                <c:pt idx="9">
                  <c:v>29.92</c:v>
                </c:pt>
                <c:pt idx="10">
                  <c:v>30.63</c:v>
                </c:pt>
                <c:pt idx="11">
                  <c:v>30.77</c:v>
                </c:pt>
                <c:pt idx="12">
                  <c:v>31.35</c:v>
                </c:pt>
                <c:pt idx="13">
                  <c:v>31.59</c:v>
                </c:pt>
                <c:pt idx="14">
                  <c:v>32.270000000000003</c:v>
                </c:pt>
                <c:pt idx="15">
                  <c:v>32.159999999999997</c:v>
                </c:pt>
                <c:pt idx="16">
                  <c:v>32.450000000000003</c:v>
                </c:pt>
                <c:pt idx="17">
                  <c:v>32.880000000000003</c:v>
                </c:pt>
                <c:pt idx="18" formatCode="0.00">
                  <c:v>33.4</c:v>
                </c:pt>
              </c:numCache>
            </c:numRef>
          </c:val>
          <c:smooth val="0"/>
        </c:ser>
        <c:dLbls>
          <c:showLegendKey val="0"/>
          <c:showVal val="0"/>
          <c:showCatName val="0"/>
          <c:showSerName val="0"/>
          <c:showPercent val="0"/>
          <c:showBubbleSize val="0"/>
        </c:dLbls>
        <c:marker val="1"/>
        <c:smooth val="0"/>
        <c:axId val="788735368"/>
        <c:axId val="788734976"/>
      </c:lineChart>
      <c:lineChart>
        <c:grouping val="standard"/>
        <c:varyColors val="0"/>
        <c:ser>
          <c:idx val="1"/>
          <c:order val="1"/>
          <c:tx>
            <c:strRef>
              <c:f>'Wage, price statistics'!$AG$2</c:f>
              <c:strCache>
                <c:ptCount val="1"/>
                <c:pt idx="0">
                  <c:v>Annual increase</c:v>
                </c:pt>
              </c:strCache>
            </c:strRef>
          </c:tx>
          <c:marker>
            <c:symbol val="none"/>
          </c:marker>
          <c:val>
            <c:numRef>
              <c:f>'Wage, price statistics'!$AG$33:$AG$51</c:f>
              <c:numCache>
                <c:formatCode>0.0%</c:formatCode>
                <c:ptCount val="19"/>
                <c:pt idx="0">
                  <c:v>2.7661064425770432E-2</c:v>
                </c:pt>
                <c:pt idx="1">
                  <c:v>2.5447042640990514E-2</c:v>
                </c:pt>
                <c:pt idx="2">
                  <c:v>1.3251783893985847E-2</c:v>
                </c:pt>
                <c:pt idx="3">
                  <c:v>2.5782055689240302E-2</c:v>
                </c:pt>
                <c:pt idx="4">
                  <c:v>1.5672913117546816E-2</c:v>
                </c:pt>
                <c:pt idx="5">
                  <c:v>1.4755197853789426E-2</c:v>
                </c:pt>
                <c:pt idx="6">
                  <c:v>1.7773306505700859E-2</c:v>
                </c:pt>
                <c:pt idx="7">
                  <c:v>6.7024128686326012E-3</c:v>
                </c:pt>
                <c:pt idx="8">
                  <c:v>1.3418316001341912E-2</c:v>
                </c:pt>
                <c:pt idx="9">
                  <c:v>-1.1235955056179803E-2</c:v>
                </c:pt>
                <c:pt idx="10">
                  <c:v>9.2257001647446657E-3</c:v>
                </c:pt>
                <c:pt idx="11">
                  <c:v>2.4300932090545846E-2</c:v>
                </c:pt>
                <c:pt idx="12">
                  <c:v>3.7735849056603765E-2</c:v>
                </c:pt>
                <c:pt idx="13">
                  <c:v>5.5815508021390237E-2</c:v>
                </c:pt>
                <c:pt idx="14">
                  <c:v>5.3542278811622657E-2</c:v>
                </c:pt>
                <c:pt idx="15">
                  <c:v>4.5173870653233639E-2</c:v>
                </c:pt>
                <c:pt idx="16">
                  <c:v>3.5087719298245723E-2</c:v>
                </c:pt>
                <c:pt idx="17">
                  <c:v>4.0835707502374197E-2</c:v>
                </c:pt>
                <c:pt idx="18">
                  <c:v>3.5017043693833072E-2</c:v>
                </c:pt>
              </c:numCache>
            </c:numRef>
          </c:val>
          <c:smooth val="0"/>
        </c:ser>
        <c:ser>
          <c:idx val="2"/>
          <c:order val="2"/>
          <c:tx>
            <c:strRef>
              <c:f>'Wage, price statistics'!$AH$2</c:f>
              <c:strCache>
                <c:ptCount val="1"/>
                <c:pt idx="0">
                  <c:v>Quarterly increase</c:v>
                </c:pt>
              </c:strCache>
            </c:strRef>
          </c:tx>
          <c:spPr>
            <a:ln>
              <a:solidFill>
                <a:srgbClr val="C00000"/>
              </a:solidFill>
              <a:prstDash val="sysDash"/>
            </a:ln>
          </c:spPr>
          <c:marker>
            <c:symbol val="none"/>
          </c:marker>
          <c:val>
            <c:numRef>
              <c:f>'Wage, price statistics'!$AH$33:$AH$51</c:f>
              <c:numCache>
                <c:formatCode>0.0%</c:formatCode>
                <c:ptCount val="19"/>
                <c:pt idx="0">
                  <c:v>8.937779305603355E-3</c:v>
                </c:pt>
                <c:pt idx="1">
                  <c:v>1.6013628620102249E-2</c:v>
                </c:pt>
                <c:pt idx="2">
                  <c:v>0</c:v>
                </c:pt>
                <c:pt idx="3">
                  <c:v>6.7069081153592336E-4</c:v>
                </c:pt>
                <c:pt idx="4">
                  <c:v>-1.0053619302949901E-3</c:v>
                </c:pt>
                <c:pt idx="5">
                  <c:v>1.5095605501509679E-2</c:v>
                </c:pt>
                <c:pt idx="6">
                  <c:v>2.974223397224085E-3</c:v>
                </c:pt>
                <c:pt idx="7">
                  <c:v>-1.0214168039538785E-2</c:v>
                </c:pt>
                <c:pt idx="8">
                  <c:v>5.65912117177092E-3</c:v>
                </c:pt>
                <c:pt idx="9">
                  <c:v>-9.5994703740482912E-3</c:v>
                </c:pt>
                <c:pt idx="10">
                  <c:v>2.3729946524064127E-2</c:v>
                </c:pt>
                <c:pt idx="11">
                  <c:v>4.5706823375775141E-3</c:v>
                </c:pt>
                <c:pt idx="12">
                  <c:v>1.884952876178092E-2</c:v>
                </c:pt>
                <c:pt idx="13">
                  <c:v>7.6555023923443599E-3</c:v>
                </c:pt>
                <c:pt idx="14">
                  <c:v>2.152579930357712E-2</c:v>
                </c:pt>
                <c:pt idx="15">
                  <c:v>-3.4087387666565938E-3</c:v>
                </c:pt>
                <c:pt idx="16">
                  <c:v>9.0174129353235433E-3</c:v>
                </c:pt>
                <c:pt idx="17">
                  <c:v>1.3251155624036892E-2</c:v>
                </c:pt>
                <c:pt idx="18">
                  <c:v>1.5815085158150666E-2</c:v>
                </c:pt>
              </c:numCache>
            </c:numRef>
          </c:val>
          <c:smooth val="0"/>
        </c:ser>
        <c:dLbls>
          <c:showLegendKey val="0"/>
          <c:showVal val="0"/>
          <c:showCatName val="0"/>
          <c:showSerName val="0"/>
          <c:showPercent val="0"/>
          <c:showBubbleSize val="0"/>
        </c:dLbls>
        <c:marker val="1"/>
        <c:smooth val="0"/>
        <c:axId val="788735760"/>
        <c:axId val="788733800"/>
      </c:lineChart>
      <c:dateAx>
        <c:axId val="788735368"/>
        <c:scaling>
          <c:orientation val="minMax"/>
        </c:scaling>
        <c:delete val="0"/>
        <c:axPos val="b"/>
        <c:numFmt formatCode="mmm\-yy" sourceLinked="0"/>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788734976"/>
        <c:crosses val="autoZero"/>
        <c:auto val="1"/>
        <c:lblOffset val="100"/>
        <c:baseTimeUnit val="months"/>
      </c:dateAx>
      <c:valAx>
        <c:axId val="788734976"/>
        <c:scaling>
          <c:orientation val="minMax"/>
          <c:max val="36"/>
          <c:min val="28"/>
        </c:scaling>
        <c:delete val="0"/>
        <c:axPos val="l"/>
        <c:majorGridlines/>
        <c:numFmt formatCode="\$#,##0.00" sourceLinked="0"/>
        <c:majorTickMark val="out"/>
        <c:minorTickMark val="none"/>
        <c:tickLblPos val="nextTo"/>
        <c:txPr>
          <a:bodyPr rot="0" vert="horz"/>
          <a:lstStyle/>
          <a:p>
            <a:pPr>
              <a:defRPr sz="1000" b="0" i="0" u="none" strike="noStrike" baseline="0">
                <a:solidFill>
                  <a:srgbClr val="0066CC"/>
                </a:solidFill>
                <a:latin typeface="Calibri"/>
                <a:ea typeface="Calibri"/>
                <a:cs typeface="Calibri"/>
              </a:defRPr>
            </a:pPr>
            <a:endParaRPr lang="en-US"/>
          </a:p>
        </c:txPr>
        <c:crossAx val="788735368"/>
        <c:crosses val="autoZero"/>
        <c:crossBetween val="between"/>
      </c:valAx>
      <c:catAx>
        <c:axId val="788735760"/>
        <c:scaling>
          <c:orientation val="minMax"/>
        </c:scaling>
        <c:delete val="1"/>
        <c:axPos val="b"/>
        <c:majorTickMark val="out"/>
        <c:minorTickMark val="none"/>
        <c:tickLblPos val="nextTo"/>
        <c:crossAx val="788733800"/>
        <c:crosses val="autoZero"/>
        <c:auto val="1"/>
        <c:lblAlgn val="ctr"/>
        <c:lblOffset val="100"/>
        <c:noMultiLvlLbl val="0"/>
      </c:catAx>
      <c:valAx>
        <c:axId val="788733800"/>
        <c:scaling>
          <c:orientation val="minMax"/>
        </c:scaling>
        <c:delete val="0"/>
        <c:axPos val="r"/>
        <c:numFmt formatCode="0.0%" sourceLinked="1"/>
        <c:majorTickMark val="out"/>
        <c:minorTickMark val="none"/>
        <c:tickLblPos val="nextTo"/>
        <c:txPr>
          <a:bodyPr rot="0" vert="horz"/>
          <a:lstStyle/>
          <a:p>
            <a:pPr>
              <a:defRPr sz="1000" b="0" i="0" u="none" strike="noStrike" baseline="0">
                <a:solidFill>
                  <a:srgbClr val="FF0000"/>
                </a:solidFill>
                <a:latin typeface="Calibri"/>
                <a:ea typeface="Calibri"/>
                <a:cs typeface="Calibri"/>
              </a:defRPr>
            </a:pPr>
            <a:endParaRPr lang="en-US"/>
          </a:p>
        </c:txPr>
        <c:crossAx val="788735760"/>
        <c:crosses val="max"/>
        <c:crossBetween val="between"/>
      </c:valAx>
    </c:plotArea>
    <c:legend>
      <c:legendPos val="r"/>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3"/>
          <c:order val="0"/>
          <c:tx>
            <c:strRef>
              <c:f>'Compared to Total Exp, GDP'!$A$5</c:f>
              <c:strCache>
                <c:ptCount val="1"/>
                <c:pt idx="0">
                  <c:v>GDP (Nominal)</c:v>
                </c:pt>
              </c:strCache>
            </c:strRef>
          </c:tx>
          <c:marker>
            <c:symbol val="none"/>
          </c:marker>
          <c:cat>
            <c:numRef>
              <c:f>'Compared to Total Exp, GDP'!$H$2:$U$2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'Compared to Total Exp, GDP'!$H$5:$U$5</c:f>
              <c:numCache>
                <c:formatCode>_-* #,##0.000_-;\-* #,##0.000_-;_-* "-"??_-;_-@_-</c:formatCode>
                <c:ptCount val="14"/>
                <c:pt idx="0">
                  <c:v>175.71</c:v>
                </c:pt>
                <c:pt idx="1">
                  <c:v>189.05099999999999</c:v>
                </c:pt>
                <c:pt idx="2">
                  <c:v>189.554</c:v>
                </c:pt>
                <c:pt idx="3">
                  <c:v>196.733</c:v>
                </c:pt>
                <c:pt idx="4">
                  <c:v>205.82900000000001</c:v>
                </c:pt>
                <c:pt idx="5">
                  <c:v>215.12100000000001</c:v>
                </c:pt>
                <c:pt idx="6">
                  <c:v>218.756</c:v>
                </c:pt>
                <c:pt idx="7">
                  <c:v>236.72200000000001</c:v>
                </c:pt>
                <c:pt idx="8">
                  <c:v>244.79400000000001</c:v>
                </c:pt>
                <c:pt idx="9">
                  <c:v>257.15699999999998</c:v>
                </c:pt>
                <c:pt idx="10">
                  <c:v>273.36599999999999</c:v>
                </c:pt>
                <c:pt idx="11">
                  <c:v>288.72199999999998</c:v>
                </c:pt>
                <c:pt idx="12">
                  <c:v>299.71300000000002</c:v>
                </c:pt>
                <c:pt idx="13">
                  <c:v>316.95699999999999</c:v>
                </c:pt>
              </c:numCache>
            </c:numRef>
          </c:val>
          <c:smooth val="0"/>
        </c:ser>
        <c:ser>
          <c:idx val="2"/>
          <c:order val="1"/>
          <c:tx>
            <c:strRef>
              <c:f>'Compared to Total Exp, GDP'!$A$4</c:f>
              <c:strCache>
                <c:ptCount val="1"/>
                <c:pt idx="0">
                  <c:v>Core Crown total expenses</c:v>
                </c:pt>
              </c:strCache>
            </c:strRef>
          </c:tx>
          <c:marker>
            <c:symbol val="none"/>
          </c:marker>
          <c:cat>
            <c:numRef>
              <c:f>'Compared to Total Exp, GDP'!$H$2:$U$2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'Compared to Total Exp, GDP'!$H$4:$U$4</c:f>
              <c:numCache>
                <c:formatCode>_-* #,##0.000_-;\-* #,##0.000_-;_-* "-"??_-;_-@_-</c:formatCode>
                <c:ptCount val="14"/>
                <c:pt idx="0">
                  <c:v>53.764000000000003</c:v>
                </c:pt>
                <c:pt idx="1">
                  <c:v>56.753</c:v>
                </c:pt>
                <c:pt idx="2">
                  <c:v>63.710999999999999</c:v>
                </c:pt>
                <c:pt idx="3">
                  <c:v>63.554000000000002</c:v>
                </c:pt>
                <c:pt idx="4">
                  <c:v>70.099000000000004</c:v>
                </c:pt>
                <c:pt idx="5">
                  <c:v>68.938999999999993</c:v>
                </c:pt>
                <c:pt idx="6">
                  <c:v>69.962000000000003</c:v>
                </c:pt>
                <c:pt idx="7">
                  <c:v>71.174000000000007</c:v>
                </c:pt>
                <c:pt idx="8">
                  <c:v>72.363</c:v>
                </c:pt>
                <c:pt idx="9">
                  <c:v>73.929000000000002</c:v>
                </c:pt>
                <c:pt idx="10">
                  <c:v>76.338999999999999</c:v>
                </c:pt>
                <c:pt idx="11">
                  <c:v>80.575999999999993</c:v>
                </c:pt>
                <c:pt idx="12">
                  <c:v>87.3</c:v>
                </c:pt>
                <c:pt idx="13">
                  <c:v>93.262</c:v>
                </c:pt>
              </c:numCache>
            </c:numRef>
          </c:val>
          <c:smooth val="0"/>
        </c:ser>
        <c:ser>
          <c:idx val="1"/>
          <c:order val="2"/>
          <c:tx>
            <c:strRef>
              <c:f>'Compared to Total Exp, GDP'!$A$3</c:f>
              <c:strCache>
                <c:ptCount val="1"/>
                <c:pt idx="0">
                  <c:v>Core Crown Health expenses</c:v>
                </c:pt>
              </c:strCache>
            </c:strRef>
          </c:tx>
          <c:marker>
            <c:symbol val="none"/>
          </c:marker>
          <c:cat>
            <c:numRef>
              <c:f>'Compared to Total Exp, GDP'!$H$2:$U$2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'Compared to Total Exp, GDP'!$H$3:$U$3</c:f>
              <c:numCache>
                <c:formatCode>_-* #,##0.000_-;\-* #,##0.000_-;_-* "-"??_-;_-@_-</c:formatCode>
                <c:ptCount val="14"/>
                <c:pt idx="0">
                  <c:v>10.355</c:v>
                </c:pt>
                <c:pt idx="1">
                  <c:v>11.297000000000001</c:v>
                </c:pt>
                <c:pt idx="2">
                  <c:v>12.368</c:v>
                </c:pt>
                <c:pt idx="3">
                  <c:v>13.128</c:v>
                </c:pt>
                <c:pt idx="4">
                  <c:v>13.753</c:v>
                </c:pt>
                <c:pt idx="5">
                  <c:v>14.16</c:v>
                </c:pt>
                <c:pt idx="6">
                  <c:v>14.497999999999999</c:v>
                </c:pt>
                <c:pt idx="7">
                  <c:v>14.898</c:v>
                </c:pt>
                <c:pt idx="8">
                  <c:v>15.058</c:v>
                </c:pt>
                <c:pt idx="9">
                  <c:v>15.625999999999999</c:v>
                </c:pt>
                <c:pt idx="10">
                  <c:v>16.222999999999999</c:v>
                </c:pt>
                <c:pt idx="11">
                  <c:v>17.158999999999999</c:v>
                </c:pt>
                <c:pt idx="12">
                  <c:v>18.277000000000001</c:v>
                </c:pt>
                <c:pt idx="13">
                  <c:v>19.198</c:v>
                </c:pt>
              </c:numCache>
            </c:numRef>
          </c:val>
          <c:smooth val="0"/>
        </c:ser>
        <c:dLbls>
          <c:showLegendKey val="0"/>
          <c:showVal val="0"/>
          <c:showCatName val="0"/>
          <c:showSerName val="0"/>
          <c:showPercent val="0"/>
          <c:showBubbleSize val="0"/>
        </c:dLbls>
        <c:smooth val="0"/>
        <c:axId val="659126896"/>
        <c:axId val="659128464"/>
      </c:lineChart>
      <c:catAx>
        <c:axId val="65912689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28464"/>
        <c:crosses val="autoZero"/>
        <c:auto val="1"/>
        <c:lblAlgn val="ctr"/>
        <c:lblOffset val="100"/>
        <c:noMultiLvlLbl val="0"/>
      </c:catAx>
      <c:valAx>
        <c:axId val="659128464"/>
        <c:scaling>
          <c:orientation val="minMax"/>
        </c:scaling>
        <c:delete val="0"/>
        <c:axPos val="l"/>
        <c:majorGridlines/>
        <c:numFmt formatCode="_-* #,##0.000_-;\-* #,##0.00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26896"/>
        <c:crosses val="autoZero"/>
        <c:crossBetween val="between"/>
      </c:valAx>
    </c:plotArea>
    <c:legend>
      <c:legendPos val="r"/>
      <c:layout/>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'Compared to Total Exp, GDP'!$A$7</c:f>
              <c:strCache>
                <c:ptCount val="1"/>
                <c:pt idx="0">
                  <c:v>Health as % Crown</c:v>
                </c:pt>
              </c:strCache>
            </c:strRef>
          </c:tx>
          <c:marker>
            <c:symbol val="none"/>
          </c:marker>
          <c:cat>
            <c:numRef>
              <c:f>'Compared to Total Exp, GDP'!$H$2:$S$2</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'Compared to Total Exp, GDP'!$H$7:$S$7</c:f>
              <c:numCache>
                <c:formatCode>0.0%</c:formatCode>
                <c:ptCount val="12"/>
                <c:pt idx="0">
                  <c:v>0.19260099694963173</c:v>
                </c:pt>
                <c:pt idx="1">
                  <c:v>0.19905555653445633</c:v>
                </c:pt>
                <c:pt idx="2">
                  <c:v>0.19412660294140729</c:v>
                </c:pt>
                <c:pt idx="3">
                  <c:v>0.20656449633382634</c:v>
                </c:pt>
                <c:pt idx="4">
                  <c:v>0.19619395426468281</c:v>
                </c:pt>
                <c:pt idx="5">
                  <c:v>0.20539897590623596</c:v>
                </c:pt>
                <c:pt idx="6">
                  <c:v>0.20722678025213687</c:v>
                </c:pt>
                <c:pt idx="7">
                  <c:v>0.20931800938544973</c:v>
                </c:pt>
                <c:pt idx="8">
                  <c:v>0.20808976963365255</c:v>
                </c:pt>
                <c:pt idx="9">
                  <c:v>0.21136495827077328</c:v>
                </c:pt>
                <c:pt idx="10">
                  <c:v>0.21251260823432322</c:v>
                </c:pt>
                <c:pt idx="11">
                  <c:v>0.21295422954725973</c:v>
                </c:pt>
              </c:numCache>
            </c:numRef>
          </c:val>
          <c:smooth val="0"/>
        </c:ser>
        <c:ser>
          <c:idx val="1"/>
          <c:order val="1"/>
          <c:tx>
            <c:strRef>
              <c:f>'Compared to Total Exp, GDP'!$A$8</c:f>
              <c:strCache>
                <c:ptCount val="1"/>
                <c:pt idx="0">
                  <c:v>Health as % GDP</c:v>
                </c:pt>
              </c:strCache>
            </c:strRef>
          </c:tx>
          <c:marker>
            <c:symbol val="none"/>
          </c:marker>
          <c:cat>
            <c:numRef>
              <c:f>'Compared to Total Exp, GDP'!$H$2:$S$2</c:f>
              <c:numCache>
                <c:formatCode>General</c:formatCode>
                <c:ptCount val="12"/>
                <c:pt idx="0">
                  <c:v>2007</c:v>
                </c:pt>
                <c:pt idx="1">
                  <c:v>2008</c:v>
                </c:pt>
                <c:pt idx="2">
                  <c:v>2009</c:v>
                </c:pt>
                <c:pt idx="3">
                  <c:v>2010</c:v>
                </c:pt>
                <c:pt idx="4">
                  <c:v>2011</c:v>
                </c:pt>
                <c:pt idx="5">
                  <c:v>2012</c:v>
                </c:pt>
                <c:pt idx="6">
                  <c:v>2013</c:v>
                </c:pt>
                <c:pt idx="7">
                  <c:v>2014</c:v>
                </c:pt>
                <c:pt idx="8">
                  <c:v>2015</c:v>
                </c:pt>
                <c:pt idx="9">
                  <c:v>2016</c:v>
                </c:pt>
                <c:pt idx="10">
                  <c:v>2017</c:v>
                </c:pt>
                <c:pt idx="11">
                  <c:v>2018</c:v>
                </c:pt>
              </c:numCache>
            </c:numRef>
          </c:cat>
          <c:val>
            <c:numRef>
              <c:f>'Compared to Total Exp, GDP'!$H$8:$S$8</c:f>
              <c:numCache>
                <c:formatCode>0.00%</c:formatCode>
                <c:ptCount val="12"/>
                <c:pt idx="0">
                  <c:v>5.8932331682886571E-2</c:v>
                </c:pt>
                <c:pt idx="1">
                  <c:v>5.9756362039872848E-2</c:v>
                </c:pt>
                <c:pt idx="2">
                  <c:v>6.5247897696698573E-2</c:v>
                </c:pt>
                <c:pt idx="3">
                  <c:v>6.6730035123746395E-2</c:v>
                </c:pt>
                <c:pt idx="4">
                  <c:v>6.6817601018321029E-2</c:v>
                </c:pt>
                <c:pt idx="5">
                  <c:v>6.5823420307640809E-2</c:v>
                </c:pt>
                <c:pt idx="6">
                  <c:v>6.6274753606758205E-2</c:v>
                </c:pt>
                <c:pt idx="7">
                  <c:v>6.2934581492214495E-2</c:v>
                </c:pt>
                <c:pt idx="8">
                  <c:v>6.15129455787315E-2</c:v>
                </c:pt>
                <c:pt idx="9">
                  <c:v>6.0764435733812419E-2</c:v>
                </c:pt>
                <c:pt idx="10">
                  <c:v>5.9345346531755959E-2</c:v>
                </c:pt>
                <c:pt idx="11">
                  <c:v>5.9430871218680945E-2</c:v>
                </c:pt>
              </c:numCache>
            </c:numRef>
          </c:val>
          <c:smooth val="0"/>
        </c:ser>
        <c:dLbls>
          <c:showLegendKey val="0"/>
          <c:showVal val="0"/>
          <c:showCatName val="0"/>
          <c:showSerName val="0"/>
          <c:showPercent val="0"/>
          <c:showBubbleSize val="0"/>
        </c:dLbls>
        <c:smooth val="0"/>
        <c:axId val="659128072"/>
        <c:axId val="659139048"/>
      </c:lineChart>
      <c:catAx>
        <c:axId val="65912807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39048"/>
        <c:crosses val="autoZero"/>
        <c:auto val="1"/>
        <c:lblAlgn val="ctr"/>
        <c:lblOffset val="100"/>
        <c:noMultiLvlLbl val="0"/>
      </c:catAx>
      <c:valAx>
        <c:axId val="659139048"/>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28072"/>
        <c:crosses val="autoZero"/>
        <c:crossBetween val="between"/>
      </c:valAx>
    </c:plotArea>
    <c:legend>
      <c:legendPos val="r"/>
      <c:layout/>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NZ"/>
              <a:t>Annual increases in GDP and Government Health funding</a:t>
            </a:r>
          </a:p>
        </c:rich>
      </c:tx>
      <c:layout/>
      <c:overlay val="0"/>
    </c:title>
    <c:autoTitleDeleted val="0"/>
    <c:plotArea>
      <c:layout/>
      <c:lineChart>
        <c:grouping val="standard"/>
        <c:varyColors val="0"/>
        <c:ser>
          <c:idx val="2"/>
          <c:order val="0"/>
          <c:tx>
            <c:strRef>
              <c:f>'Compared to Total Exp, GDP'!$A$24</c:f>
              <c:strCache>
                <c:ptCount val="1"/>
                <c:pt idx="0">
                  <c:v>GDP (Nominal)</c:v>
                </c:pt>
              </c:strCache>
            </c:strRef>
          </c:tx>
          <c:marker>
            <c:symbol val="none"/>
          </c:marker>
          <c:cat>
            <c:numRef>
              <c:f>'Compared to Total Exp, GDP'!$J$20:$U$20</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'Compared to Total Exp, GDP'!$J$24:$U$24</c:f>
              <c:numCache>
                <c:formatCode>0.0%</c:formatCode>
                <c:ptCount val="12"/>
                <c:pt idx="0">
                  <c:v>2.6606577061216719E-3</c:v>
                </c:pt>
                <c:pt idx="1">
                  <c:v>3.787311267501603E-2</c:v>
                </c:pt>
                <c:pt idx="2">
                  <c:v>4.6235252855392872E-2</c:v>
                </c:pt>
                <c:pt idx="3">
                  <c:v>4.5144270243746121E-2</c:v>
                </c:pt>
                <c:pt idx="4">
                  <c:v>1.689746700694017E-2</c:v>
                </c:pt>
                <c:pt idx="5">
                  <c:v>8.2128033059664762E-2</c:v>
                </c:pt>
                <c:pt idx="6">
                  <c:v>3.4099069794949255E-2</c:v>
                </c:pt>
                <c:pt idx="7">
                  <c:v>5.0503688815902281E-2</c:v>
                </c:pt>
                <c:pt idx="8">
                  <c:v>6.3031533265670348E-2</c:v>
                </c:pt>
                <c:pt idx="9">
                  <c:v>5.6173774353796668E-2</c:v>
                </c:pt>
                <c:pt idx="10">
                  <c:v>3.80677606832871E-2</c:v>
                </c:pt>
                <c:pt idx="11">
                  <c:v>5.7535041856709546E-2</c:v>
                </c:pt>
              </c:numCache>
            </c:numRef>
          </c:val>
          <c:smooth val="0"/>
        </c:ser>
        <c:ser>
          <c:idx val="0"/>
          <c:order val="1"/>
          <c:tx>
            <c:strRef>
              <c:f>'Compared to Total Exp, GDP'!$A$22</c:f>
              <c:strCache>
                <c:ptCount val="1"/>
                <c:pt idx="0">
                  <c:v>Core Crown Health expenses</c:v>
                </c:pt>
              </c:strCache>
            </c:strRef>
          </c:tx>
          <c:marker>
            <c:symbol val="none"/>
          </c:marker>
          <c:cat>
            <c:numRef>
              <c:f>'Compared to Total Exp, GDP'!$J$20:$U$20</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'Compared to Total Exp, GDP'!$J$22:$U$22</c:f>
              <c:numCache>
                <c:formatCode>0.0%</c:formatCode>
                <c:ptCount val="12"/>
                <c:pt idx="0">
                  <c:v>9.4803930246968093E-2</c:v>
                </c:pt>
                <c:pt idx="1">
                  <c:v>6.1448900388098249E-2</c:v>
                </c:pt>
                <c:pt idx="2">
                  <c:v>4.760816575258997E-2</c:v>
                </c:pt>
                <c:pt idx="3">
                  <c:v>2.9593543226932306E-2</c:v>
                </c:pt>
                <c:pt idx="4">
                  <c:v>2.3870056497174996E-2</c:v>
                </c:pt>
                <c:pt idx="5">
                  <c:v>2.7590012415505516E-2</c:v>
                </c:pt>
                <c:pt idx="6">
                  <c:v>1.0739696603570881E-2</c:v>
                </c:pt>
                <c:pt idx="7">
                  <c:v>3.7720812856953057E-2</c:v>
                </c:pt>
                <c:pt idx="8">
                  <c:v>3.8205554844489953E-2</c:v>
                </c:pt>
                <c:pt idx="9">
                  <c:v>5.7695863896936483E-2</c:v>
                </c:pt>
                <c:pt idx="10">
                  <c:v>6.5155312081123684E-2</c:v>
                </c:pt>
                <c:pt idx="11">
                  <c:v>5.0391202057230355E-2</c:v>
                </c:pt>
              </c:numCache>
            </c:numRef>
          </c:val>
          <c:smooth val="0"/>
        </c:ser>
        <c:dLbls>
          <c:showLegendKey val="0"/>
          <c:showVal val="0"/>
          <c:showCatName val="0"/>
          <c:showSerName val="0"/>
          <c:showPercent val="0"/>
          <c:showBubbleSize val="0"/>
        </c:dLbls>
        <c:smooth val="0"/>
        <c:axId val="659142576"/>
        <c:axId val="659145712"/>
      </c:lineChart>
      <c:catAx>
        <c:axId val="65914257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5712"/>
        <c:crosses val="autoZero"/>
        <c:auto val="1"/>
        <c:lblAlgn val="ctr"/>
        <c:lblOffset val="100"/>
        <c:noMultiLvlLbl val="0"/>
      </c:catAx>
      <c:valAx>
        <c:axId val="659145712"/>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2576"/>
        <c:crosses val="autoZero"/>
        <c:crossBetween val="between"/>
      </c:valAx>
    </c:plotArea>
    <c:legend>
      <c:legendPos val="r"/>
      <c:layout/>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NZ"/>
              <a:t>Rolling Annual increases in GDP and Government Health funding</a:t>
            </a:r>
          </a:p>
        </c:rich>
      </c:tx>
      <c:layout/>
      <c:overlay val="0"/>
    </c:title>
    <c:autoTitleDeleted val="0"/>
    <c:plotArea>
      <c:layout>
        <c:manualLayout>
          <c:layoutTarget val="inner"/>
          <c:xMode val="edge"/>
          <c:yMode val="edge"/>
          <c:x val="9.6085739282589677E-2"/>
          <c:y val="0.15679319395420399"/>
          <c:w val="0.61836915403368176"/>
          <c:h val="0.70503828400760249"/>
        </c:manualLayout>
      </c:layout>
      <c:lineChart>
        <c:grouping val="standard"/>
        <c:varyColors val="0"/>
        <c:ser>
          <c:idx val="0"/>
          <c:order val="0"/>
          <c:tx>
            <c:strRef>
              <c:f>'Compared to Total Exp, GDP'!$Z$22</c:f>
              <c:strCache>
                <c:ptCount val="1"/>
                <c:pt idx="0">
                  <c:v>Core Crown Health expenses</c:v>
                </c:pt>
              </c:strCache>
            </c:strRef>
          </c:tx>
          <c:marker>
            <c:symbol val="none"/>
          </c:marker>
          <c:cat>
            <c:numRef>
              <c:f>'Compared to Total Exp, GDP'!$AB$20:$AL$20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'Compared to Total Exp, GDP'!$AB$22:$AL$22</c:f>
              <c:numCache>
                <c:formatCode>0.0%</c:formatCode>
                <c:ptCount val="11"/>
                <c:pt idx="0">
                  <c:v>8.151087595532025E-2</c:v>
                </c:pt>
                <c:pt idx="1">
                  <c:v>6.6751827793330332E-2</c:v>
                </c:pt>
                <c:pt idx="2">
                  <c:v>4.5657214196539897E-2</c:v>
                </c:pt>
                <c:pt idx="3">
                  <c:v>3.3381252893448066E-2</c:v>
                </c:pt>
                <c:pt idx="4">
                  <c:v>2.6997712857513401E-2</c:v>
                </c:pt>
                <c:pt idx="5">
                  <c:v>2.0617136559831106E-2</c:v>
                </c:pt>
                <c:pt idx="6">
                  <c:v>2.5374544472938299E-2</c:v>
                </c:pt>
                <c:pt idx="7">
                  <c:v>2.906849194857597E-2</c:v>
                </c:pt>
                <c:pt idx="8">
                  <c:v>4.4790756177116364E-2</c:v>
                </c:pt>
                <c:pt idx="9">
                  <c:v>5.4093209271955489E-2</c:v>
                </c:pt>
                <c:pt idx="10">
                  <c:v>5.7589190654097067E-2</c:v>
                </c:pt>
              </c:numCache>
            </c:numRef>
          </c:val>
          <c:smooth val="0"/>
        </c:ser>
        <c:ser>
          <c:idx val="2"/>
          <c:order val="1"/>
          <c:tx>
            <c:strRef>
              <c:f>'Compared to Total Exp, GDP'!$Z$24</c:f>
              <c:strCache>
                <c:ptCount val="1"/>
                <c:pt idx="0">
                  <c:v>GDP (Nominal)</c:v>
                </c:pt>
              </c:strCache>
            </c:strRef>
          </c:tx>
          <c:marker>
            <c:symbol val="none"/>
          </c:marker>
          <c:cat>
            <c:numRef>
              <c:f>'Compared to Total Exp, GDP'!$AB$20:$AL$20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'Compared to Total Exp, GDP'!$AB$24:$AL$24</c:f>
              <c:numCache>
                <c:formatCode>0.0%</c:formatCode>
                <c:ptCount val="11"/>
                <c:pt idx="0">
                  <c:v>3.792608895664018E-2</c:v>
                </c:pt>
                <c:pt idx="1">
                  <c:v>2.9161988257337512E-2</c:v>
                </c:pt>
                <c:pt idx="2">
                  <c:v>4.3179039242310591E-2</c:v>
                </c:pt>
                <c:pt idx="3">
                  <c:v>3.5654210978770751E-2</c:v>
                </c:pt>
                <c:pt idx="4">
                  <c:v>4.829249686574788E-2</c:v>
                </c:pt>
                <c:pt idx="5">
                  <c:v>4.4248500221443665E-2</c:v>
                </c:pt>
                <c:pt idx="6">
                  <c:v>5.483726323485727E-2</c:v>
                </c:pt>
                <c:pt idx="7">
                  <c:v>4.960787791079424E-2</c:v>
                </c:pt>
                <c:pt idx="8">
                  <c:v>5.6658115325731062E-2</c:v>
                </c:pt>
                <c:pt idx="9">
                  <c:v>5.1945388742073551E-2</c:v>
                </c:pt>
                <c:pt idx="10">
                  <c:v>5.0581282685910001E-2</c:v>
                </c:pt>
              </c:numCache>
            </c:numRef>
          </c:val>
          <c:smooth val="0"/>
        </c:ser>
        <c:dLbls>
          <c:showLegendKey val="0"/>
          <c:showVal val="0"/>
          <c:showCatName val="0"/>
          <c:showSerName val="0"/>
          <c:showPercent val="0"/>
          <c:showBubbleSize val="0"/>
        </c:dLbls>
        <c:smooth val="0"/>
        <c:axId val="659140224"/>
        <c:axId val="659140616"/>
      </c:lineChart>
      <c:catAx>
        <c:axId val="65914022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0616"/>
        <c:crosses val="autoZero"/>
        <c:auto val="1"/>
        <c:lblAlgn val="ctr"/>
        <c:lblOffset val="100"/>
        <c:noMultiLvlLbl val="0"/>
      </c:catAx>
      <c:valAx>
        <c:axId val="659140616"/>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0224"/>
        <c:crosses val="autoZero"/>
        <c:crossBetween val="between"/>
      </c:valAx>
    </c:plotArea>
    <c:legend>
      <c:legendPos val="r"/>
      <c:layout/>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NZ"/>
              <a:t>Vote Health expenses as % GDP, compared to 2010</a:t>
            </a:r>
          </a:p>
        </c:rich>
      </c:tx>
      <c:layout/>
      <c:overlay val="0"/>
    </c:title>
    <c:autoTitleDeleted val="0"/>
    <c:plotArea>
      <c:layout>
        <c:manualLayout>
          <c:layoutTarget val="inner"/>
          <c:xMode val="edge"/>
          <c:yMode val="edge"/>
          <c:x val="0.35739606014876807"/>
          <c:y val="0.13052780989558374"/>
          <c:w val="0.57369965677367252"/>
          <c:h val="0.69661526648114358"/>
        </c:manualLayout>
      </c:layout>
      <c:barChart>
        <c:barDir val="col"/>
        <c:grouping val="clustered"/>
        <c:varyColors val="0"/>
        <c:ser>
          <c:idx val="0"/>
          <c:order val="1"/>
          <c:tx>
            <c:v>Shortfall compared to 2010 ($bn)</c:v>
          </c:tx>
          <c:invertIfNegative val="0"/>
          <c:cat>
            <c:numRef>
              <c:f>'Compared to Total Exp, GDP'!$K$11:$U$11</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'Compared to Total Exp, GDP'!$K$15:$U$15</c:f>
              <c:numCache>
                <c:formatCode>_(* #,##0.00_);_(* \(#,##0.00\);_(* "-"??_);_(@_)</c:formatCode>
                <c:ptCount val="11"/>
                <c:pt idx="1">
                  <c:v>0.12055297894100114</c:v>
                </c:pt>
                <c:pt idx="2">
                  <c:v>0.23395551283719485</c:v>
                </c:pt>
                <c:pt idx="3">
                  <c:v>0.10685669274600329</c:v>
                </c:pt>
                <c:pt idx="4">
                  <c:v>0.80819305154701837</c:v>
                </c:pt>
                <c:pt idx="5">
                  <c:v>1.0206714576608888</c:v>
                </c:pt>
                <c:pt idx="6">
                  <c:v>1.3486979419009515</c:v>
                </c:pt>
                <c:pt idx="7">
                  <c:v>1.8833436830679116</c:v>
                </c:pt>
                <c:pt idx="8">
                  <c:v>1.9462802029247719</c:v>
                </c:pt>
                <c:pt idx="9">
                  <c:v>1.6310428024784827</c:v>
                </c:pt>
                <c:pt idx="10">
                  <c:v>1.7375185659853685</c:v>
                </c:pt>
              </c:numCache>
            </c:numRef>
          </c:val>
        </c:ser>
        <c:dLbls>
          <c:showLegendKey val="0"/>
          <c:showVal val="0"/>
          <c:showCatName val="0"/>
          <c:showSerName val="0"/>
          <c:showPercent val="0"/>
          <c:showBubbleSize val="0"/>
        </c:dLbls>
        <c:gapWidth val="150"/>
        <c:axId val="659136696"/>
        <c:axId val="659141400"/>
      </c:barChart>
      <c:lineChart>
        <c:grouping val="standard"/>
        <c:varyColors val="0"/>
        <c:ser>
          <c:idx val="3"/>
          <c:order val="0"/>
          <c:tx>
            <c:v>Vote Health expenses %GDP</c:v>
          </c:tx>
          <c:spPr>
            <a:ln>
              <a:solidFill>
                <a:srgbClr val="C00000"/>
              </a:solidFill>
            </a:ln>
          </c:spPr>
          <c:marker>
            <c:symbol val="none"/>
          </c:marker>
          <c:cat>
            <c:numRef>
              <c:f>'Compared to Total Exp, GDP'!$K$11:$U$11</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'Compared to Total Exp, GDP'!$K$14:$U$14</c:f>
              <c:numCache>
                <c:formatCode>0.00%</c:formatCode>
                <c:ptCount val="11"/>
                <c:pt idx="0">
                  <c:v>6.2768137526495293E-2</c:v>
                </c:pt>
                <c:pt idx="1">
                  <c:v>6.2182442707295858E-2</c:v>
                </c:pt>
                <c:pt idx="2">
                  <c:v>6.1680584415282562E-2</c:v>
                </c:pt>
                <c:pt idx="3">
                  <c:v>6.2279663186381173E-2</c:v>
                </c:pt>
                <c:pt idx="4">
                  <c:v>5.9354035535353705E-2</c:v>
                </c:pt>
                <c:pt idx="5">
                  <c:v>5.8598625783311681E-2</c:v>
                </c:pt>
                <c:pt idx="6">
                  <c:v>5.7523489541408554E-2</c:v>
                </c:pt>
                <c:pt idx="7">
                  <c:v>5.5878679133469417E-2</c:v>
                </c:pt>
                <c:pt idx="8">
                  <c:v>5.6027119512887837E-2</c:v>
                </c:pt>
                <c:pt idx="9">
                  <c:v>5.7326121990037136E-2</c:v>
                </c:pt>
                <c:pt idx="10">
                  <c:v>5.7286262805364765E-2</c:v>
                </c:pt>
              </c:numCache>
            </c:numRef>
          </c:val>
          <c:smooth val="0"/>
        </c:ser>
        <c:dLbls>
          <c:showLegendKey val="0"/>
          <c:showVal val="0"/>
          <c:showCatName val="0"/>
          <c:showSerName val="0"/>
          <c:showPercent val="0"/>
          <c:showBubbleSize val="0"/>
        </c:dLbls>
        <c:marker val="1"/>
        <c:smooth val="0"/>
        <c:axId val="659137872"/>
        <c:axId val="659138656"/>
      </c:lineChart>
      <c:catAx>
        <c:axId val="65913669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1400"/>
        <c:crosses val="autoZero"/>
        <c:auto val="1"/>
        <c:lblAlgn val="ctr"/>
        <c:lblOffset val="100"/>
        <c:noMultiLvlLbl val="0"/>
      </c:catAx>
      <c:valAx>
        <c:axId val="659141400"/>
        <c:scaling>
          <c:orientation val="minMax"/>
          <c:max val="2.5"/>
        </c:scaling>
        <c:delete val="0"/>
        <c:axPos val="l"/>
        <c:majorGridlines/>
        <c:title>
          <c:tx>
            <c:rich>
              <a:bodyPr rot="0" vert="horz"/>
              <a:lstStyle/>
              <a:p>
                <a:pPr algn="ctr">
                  <a:defRPr sz="1000" b="1" i="0" u="none" strike="noStrike" baseline="0">
                    <a:solidFill>
                      <a:srgbClr val="0066CC"/>
                    </a:solidFill>
                    <a:latin typeface="Calibri"/>
                    <a:ea typeface="Calibri"/>
                    <a:cs typeface="Calibri"/>
                  </a:defRPr>
                </a:pPr>
                <a:r>
                  <a:rPr lang="en-NZ"/>
                  <a:t>$billions</a:t>
                </a:r>
              </a:p>
            </c:rich>
          </c:tx>
          <c:layout>
            <c:manualLayout>
              <c:xMode val="edge"/>
              <c:yMode val="edge"/>
              <c:x val="0.28019979810216028"/>
              <c:y val="5.9367745698454363E-2"/>
            </c:manualLayout>
          </c:layout>
          <c:overlay val="0"/>
        </c:title>
        <c:numFmt formatCode="0.00" sourceLinked="0"/>
        <c:majorTickMark val="out"/>
        <c:minorTickMark val="none"/>
        <c:tickLblPos val="nextTo"/>
        <c:txPr>
          <a:bodyPr rot="0" vert="horz"/>
          <a:lstStyle/>
          <a:p>
            <a:pPr>
              <a:defRPr sz="1000" b="0" i="0" u="none" strike="noStrike" baseline="0">
                <a:solidFill>
                  <a:srgbClr val="0066CC"/>
                </a:solidFill>
                <a:latin typeface="Calibri"/>
                <a:ea typeface="Calibri"/>
                <a:cs typeface="Calibri"/>
              </a:defRPr>
            </a:pPr>
            <a:endParaRPr lang="en-US"/>
          </a:p>
        </c:txPr>
        <c:crossAx val="659136696"/>
        <c:crosses val="autoZero"/>
        <c:crossBetween val="between"/>
        <c:majorUnit val="0.25"/>
      </c:valAx>
      <c:catAx>
        <c:axId val="659137872"/>
        <c:scaling>
          <c:orientation val="minMax"/>
        </c:scaling>
        <c:delete val="1"/>
        <c:axPos val="b"/>
        <c:numFmt formatCode="General" sourceLinked="1"/>
        <c:majorTickMark val="out"/>
        <c:minorTickMark val="none"/>
        <c:tickLblPos val="nextTo"/>
        <c:crossAx val="659138656"/>
        <c:crosses val="autoZero"/>
        <c:auto val="1"/>
        <c:lblAlgn val="ctr"/>
        <c:lblOffset val="100"/>
        <c:noMultiLvlLbl val="0"/>
      </c:catAx>
      <c:valAx>
        <c:axId val="659138656"/>
        <c:scaling>
          <c:orientation val="minMax"/>
          <c:max val="6.3000000000000014E-2"/>
          <c:min val="5.3000000000000012E-2"/>
        </c:scaling>
        <c:delete val="0"/>
        <c:axPos val="r"/>
        <c:title>
          <c:tx>
            <c:rich>
              <a:bodyPr rot="0" vert="horz"/>
              <a:lstStyle/>
              <a:p>
                <a:pPr algn="ctr">
                  <a:defRPr sz="1000" b="1" i="0" u="none" strike="noStrike" baseline="0">
                    <a:solidFill>
                      <a:srgbClr val="993300"/>
                    </a:solidFill>
                    <a:latin typeface="Calibri"/>
                    <a:ea typeface="Calibri"/>
                    <a:cs typeface="Calibri"/>
                  </a:defRPr>
                </a:pPr>
                <a:r>
                  <a:rPr lang="en-NZ"/>
                  <a:t>% GDP</a:t>
                </a:r>
              </a:p>
            </c:rich>
          </c:tx>
          <c:layout>
            <c:manualLayout>
              <c:xMode val="edge"/>
              <c:yMode val="edge"/>
              <c:x val="0.92823177871996765"/>
              <c:y val="5.8257451151939338E-2"/>
            </c:manualLayout>
          </c:layout>
          <c:overlay val="0"/>
        </c:title>
        <c:numFmt formatCode="0.0%" sourceLinked="0"/>
        <c:majorTickMark val="out"/>
        <c:minorTickMark val="none"/>
        <c:tickLblPos val="nextTo"/>
        <c:txPr>
          <a:bodyPr rot="0" vert="horz"/>
          <a:lstStyle/>
          <a:p>
            <a:pPr>
              <a:defRPr sz="1000" b="0" i="0" u="none" strike="noStrike" baseline="0">
                <a:solidFill>
                  <a:srgbClr val="FF0000"/>
                </a:solidFill>
                <a:latin typeface="Calibri"/>
                <a:ea typeface="Calibri"/>
                <a:cs typeface="Calibri"/>
              </a:defRPr>
            </a:pPr>
            <a:endParaRPr lang="en-US"/>
          </a:p>
        </c:txPr>
        <c:crossAx val="659137872"/>
        <c:crosses val="max"/>
        <c:crossBetween val="between"/>
        <c:majorUnit val="1.0000000000000002E-3"/>
      </c:valAx>
      <c:dTable>
        <c:showHorzBorder val="1"/>
        <c:showVertBorder val="1"/>
        <c:showOutline val="1"/>
        <c:showKeys val="1"/>
        <c:txPr>
          <a:bodyPr/>
          <a:lstStyle/>
          <a:p>
            <a:pPr rtl="0">
              <a:defRPr sz="1000" b="0" i="0" u="none" strike="noStrike" baseline="0">
                <a:solidFill>
                  <a:srgbClr val="000000"/>
                </a:solidFill>
                <a:latin typeface="Calibri"/>
                <a:ea typeface="Calibri"/>
                <a:cs typeface="Calibri"/>
              </a:defRPr>
            </a:pPr>
            <a:endParaRPr lang="en-US"/>
          </a:p>
        </c:txPr>
      </c:dTable>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NZ"/>
              <a:t>Core Crown expenses and Health Vote as %GDP</a:t>
            </a:r>
          </a:p>
        </c:rich>
      </c:tx>
      <c:layout/>
      <c:overlay val="0"/>
    </c:title>
    <c:autoTitleDeleted val="0"/>
    <c:plotArea>
      <c:layout>
        <c:manualLayout>
          <c:layoutTarget val="inner"/>
          <c:xMode val="edge"/>
          <c:yMode val="edge"/>
          <c:x val="0.11155371971946129"/>
          <c:y val="0.17147063750869793"/>
          <c:w val="0.78185430919495724"/>
          <c:h val="0.61794019518818111"/>
        </c:manualLayout>
      </c:layout>
      <c:barChart>
        <c:barDir val="col"/>
        <c:grouping val="clustered"/>
        <c:varyColors val="0"/>
        <c:ser>
          <c:idx val="3"/>
          <c:order val="2"/>
          <c:spPr>
            <a:pattFill prst="wdUpDiag">
              <a:fgClr>
                <a:srgbClr val="C00000"/>
              </a:fgClr>
              <a:bgClr>
                <a:schemeClr val="bg1"/>
              </a:bgClr>
            </a:pattFill>
            <a:ln>
              <a:solidFill>
                <a:srgbClr val="C00000"/>
              </a:solidFill>
            </a:ln>
          </c:spPr>
          <c:invertIfNegative val="0"/>
          <c:cat>
            <c:numRef>
              <c:f>'Compared to Total Exp, GDP'!$I$2:$X$2</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'Compared to Total Exp, GDP'!$I$14:$X$14</c:f>
              <c:numCache>
                <c:formatCode>0.00%</c:formatCode>
                <c:ptCount val="16"/>
                <c:pt idx="0">
                  <c:v>5.6981110917159919E-2</c:v>
                </c:pt>
                <c:pt idx="1">
                  <c:v>6.1300911613577133E-2</c:v>
                </c:pt>
                <c:pt idx="2">
                  <c:v>6.2768137526495293E-2</c:v>
                </c:pt>
                <c:pt idx="3">
                  <c:v>6.2182442707295858E-2</c:v>
                </c:pt>
                <c:pt idx="4">
                  <c:v>6.1680584415282562E-2</c:v>
                </c:pt>
                <c:pt idx="5">
                  <c:v>6.2279663186381173E-2</c:v>
                </c:pt>
                <c:pt idx="6">
                  <c:v>5.9354035535353705E-2</c:v>
                </c:pt>
                <c:pt idx="7">
                  <c:v>5.8598625783311681E-2</c:v>
                </c:pt>
                <c:pt idx="8">
                  <c:v>5.7523489541408554E-2</c:v>
                </c:pt>
                <c:pt idx="9">
                  <c:v>5.5878679133469417E-2</c:v>
                </c:pt>
                <c:pt idx="10">
                  <c:v>5.6027119512887837E-2</c:v>
                </c:pt>
                <c:pt idx="11">
                  <c:v>5.7326121990037136E-2</c:v>
                </c:pt>
                <c:pt idx="12">
                  <c:v>5.7286262805364765E-2</c:v>
                </c:pt>
                <c:pt idx="13">
                  <c:v>5.4200033532030574E-2</c:v>
                </c:pt>
                <c:pt idx="14">
                  <c:v>5.2095060106793073E-2</c:v>
                </c:pt>
                <c:pt idx="15">
                  <c:v>4.9871996464503181E-2</c:v>
                </c:pt>
              </c:numCache>
            </c:numRef>
          </c:val>
        </c:ser>
        <c:ser>
          <c:idx val="2"/>
          <c:order val="3"/>
          <c:tx>
            <c:strRef>
              <c:f>'Compared to Total Exp, GDP'!$A$12</c:f>
              <c:strCache>
                <c:ptCount val="1"/>
                <c:pt idx="0">
                  <c:v>Vote Health expenses</c:v>
                </c:pt>
              </c:strCache>
            </c:strRef>
          </c:tx>
          <c:spPr>
            <a:solidFill>
              <a:srgbClr val="C00000"/>
            </a:solidFill>
            <a:ln>
              <a:noFill/>
            </a:ln>
          </c:spPr>
          <c:invertIfNegative val="0"/>
          <c:cat>
            <c:numRef>
              <c:f>'Compared to Total Exp, GDP'!$I$2:$X$2</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'Compared to Total Exp, GDP'!$I$14:$S$14</c:f>
              <c:numCache>
                <c:formatCode>0.00%</c:formatCode>
                <c:ptCount val="11"/>
                <c:pt idx="0">
                  <c:v>5.6981110917159919E-2</c:v>
                </c:pt>
                <c:pt idx="1">
                  <c:v>6.1300911613577133E-2</c:v>
                </c:pt>
                <c:pt idx="2">
                  <c:v>6.2768137526495293E-2</c:v>
                </c:pt>
                <c:pt idx="3">
                  <c:v>6.2182442707295858E-2</c:v>
                </c:pt>
                <c:pt idx="4">
                  <c:v>6.1680584415282562E-2</c:v>
                </c:pt>
                <c:pt idx="5">
                  <c:v>6.2279663186381173E-2</c:v>
                </c:pt>
                <c:pt idx="6">
                  <c:v>5.9354035535353705E-2</c:v>
                </c:pt>
                <c:pt idx="7">
                  <c:v>5.8598625783311681E-2</c:v>
                </c:pt>
                <c:pt idx="8">
                  <c:v>5.7523489541408554E-2</c:v>
                </c:pt>
                <c:pt idx="9">
                  <c:v>5.5878679133469417E-2</c:v>
                </c:pt>
                <c:pt idx="10">
                  <c:v>5.6027119512887837E-2</c:v>
                </c:pt>
              </c:numCache>
            </c:numRef>
          </c:val>
        </c:ser>
        <c:dLbls>
          <c:showLegendKey val="0"/>
          <c:showVal val="0"/>
          <c:showCatName val="0"/>
          <c:showSerName val="0"/>
          <c:showPercent val="0"/>
          <c:showBubbleSize val="0"/>
        </c:dLbls>
        <c:gapWidth val="150"/>
        <c:overlap val="100"/>
        <c:axId val="659146104"/>
        <c:axId val="659141792"/>
      </c:barChart>
      <c:lineChart>
        <c:grouping val="standard"/>
        <c:varyColors val="0"/>
        <c:ser>
          <c:idx val="1"/>
          <c:order val="0"/>
          <c:spPr>
            <a:ln w="38100">
              <a:solidFill>
                <a:schemeClr val="tx1"/>
              </a:solidFill>
              <a:prstDash val="sysDot"/>
            </a:ln>
          </c:spPr>
          <c:marker>
            <c:symbol val="none"/>
          </c:marker>
          <c:cat>
            <c:numRef>
              <c:f>'Compared to Total Exp, GDP'!$I$2:$X$2</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'Compared to Total Exp, GDP'!$I$6:$V$6</c:f>
              <c:numCache>
                <c:formatCode>0.0%</c:formatCode>
                <c:ptCount val="14"/>
                <c:pt idx="0">
                  <c:v>0.3001994170885105</c:v>
                </c:pt>
                <c:pt idx="1">
                  <c:v>0.33611002669424017</c:v>
                </c:pt>
                <c:pt idx="2">
                  <c:v>0.32304697229239632</c:v>
                </c:pt>
                <c:pt idx="3">
                  <c:v>0.34056911319590533</c:v>
                </c:pt>
                <c:pt idx="4">
                  <c:v>0.32046615625624641</c:v>
                </c:pt>
                <c:pt idx="5">
                  <c:v>0.31981751357677046</c:v>
                </c:pt>
                <c:pt idx="6">
                  <c:v>0.30066491496354375</c:v>
                </c:pt>
                <c:pt idx="7">
                  <c:v>0.29560773548371283</c:v>
                </c:pt>
                <c:pt idx="8">
                  <c:v>0.28748585494464474</c:v>
                </c:pt>
                <c:pt idx="9">
                  <c:v>0.27925564993452001</c:v>
                </c:pt>
                <c:pt idx="10">
                  <c:v>0.27907814437417305</c:v>
                </c:pt>
                <c:pt idx="11">
                  <c:v>0.2912786565814629</c:v>
                </c:pt>
                <c:pt idx="12">
                  <c:v>0.29424180567080077</c:v>
                </c:pt>
                <c:pt idx="13">
                  <c:v>0.2960728603121473</c:v>
                </c:pt>
              </c:numCache>
            </c:numRef>
          </c:val>
          <c:smooth val="0"/>
        </c:ser>
        <c:ser>
          <c:idx val="0"/>
          <c:order val="1"/>
          <c:tx>
            <c:v>Core Crown total expenses (Right hand scale)</c:v>
          </c:tx>
          <c:spPr>
            <a:ln w="38100">
              <a:solidFill>
                <a:schemeClr val="tx1"/>
              </a:solidFill>
            </a:ln>
          </c:spPr>
          <c:marker>
            <c:symbol val="none"/>
          </c:marker>
          <c:cat>
            <c:numRef>
              <c:f>'Compared to Total Exp, GDP'!$I$2:$X$2</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'Compared to Total Exp, GDP'!$I$6:$X$6</c:f>
              <c:numCache>
                <c:formatCode>0.0%</c:formatCode>
                <c:ptCount val="16"/>
                <c:pt idx="0">
                  <c:v>0.3001994170885105</c:v>
                </c:pt>
                <c:pt idx="1">
                  <c:v>0.33611002669424017</c:v>
                </c:pt>
                <c:pt idx="2">
                  <c:v>0.32304697229239632</c:v>
                </c:pt>
                <c:pt idx="3">
                  <c:v>0.34056911319590533</c:v>
                </c:pt>
                <c:pt idx="4">
                  <c:v>0.32046615625624641</c:v>
                </c:pt>
                <c:pt idx="5">
                  <c:v>0.31981751357677046</c:v>
                </c:pt>
                <c:pt idx="6">
                  <c:v>0.30066491496354375</c:v>
                </c:pt>
                <c:pt idx="7">
                  <c:v>0.29560773548371283</c:v>
                </c:pt>
                <c:pt idx="8">
                  <c:v>0.28748585494464474</c:v>
                </c:pt>
                <c:pt idx="9">
                  <c:v>0.27925564993452001</c:v>
                </c:pt>
                <c:pt idx="10">
                  <c:v>0.27907814437417305</c:v>
                </c:pt>
                <c:pt idx="11">
                  <c:v>0.2912786565814629</c:v>
                </c:pt>
                <c:pt idx="12">
                  <c:v>0.29424180567080077</c:v>
                </c:pt>
                <c:pt idx="13">
                  <c:v>0.2960728603121473</c:v>
                </c:pt>
                <c:pt idx="14">
                  <c:v>0.29035721424288286</c:v>
                </c:pt>
                <c:pt idx="15">
                  <c:v>0.2884403439470985</c:v>
                </c:pt>
              </c:numCache>
            </c:numRef>
          </c:val>
          <c:smooth val="0"/>
        </c:ser>
        <c:dLbls>
          <c:showLegendKey val="0"/>
          <c:showVal val="0"/>
          <c:showCatName val="0"/>
          <c:showSerName val="0"/>
          <c:showPercent val="0"/>
          <c:showBubbleSize val="0"/>
        </c:dLbls>
        <c:marker val="1"/>
        <c:smooth val="0"/>
        <c:axId val="659141008"/>
        <c:axId val="659143752"/>
      </c:lineChart>
      <c:catAx>
        <c:axId val="659146104"/>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n-NZ"/>
                  <a:t>June year</a:t>
                </a:r>
              </a:p>
            </c:rich>
          </c:tx>
          <c:layout/>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1792"/>
        <c:crosses val="autoZero"/>
        <c:auto val="1"/>
        <c:lblAlgn val="ctr"/>
        <c:lblOffset val="100"/>
        <c:noMultiLvlLbl val="0"/>
      </c:catAx>
      <c:valAx>
        <c:axId val="659141792"/>
        <c:scaling>
          <c:orientation val="minMax"/>
          <c:max val="7.5000000000000011E-2"/>
          <c:min val="4.5000000000000012E-2"/>
        </c:scaling>
        <c:delete val="0"/>
        <c:axPos val="l"/>
        <c:majorGridlines/>
        <c:title>
          <c:tx>
            <c:rich>
              <a:bodyPr rot="0" vert="horz"/>
              <a:lstStyle/>
              <a:p>
                <a:pPr algn="ctr">
                  <a:defRPr sz="1000" b="1" i="0" u="none" strike="noStrike" baseline="0">
                    <a:solidFill>
                      <a:srgbClr val="993300"/>
                    </a:solidFill>
                    <a:latin typeface="Calibri"/>
                    <a:ea typeface="Calibri"/>
                    <a:cs typeface="Calibri"/>
                  </a:defRPr>
                </a:pPr>
                <a:r>
                  <a:rPr lang="en-NZ"/>
                  <a:t>Health Vote %GDP</a:t>
                </a:r>
              </a:p>
            </c:rich>
          </c:tx>
          <c:layout>
            <c:manualLayout>
              <c:xMode val="edge"/>
              <c:yMode val="edge"/>
              <c:x val="6.5573770491803279E-3"/>
              <c:y val="0.10437241663081902"/>
            </c:manualLayout>
          </c:layout>
          <c:overlay val="0"/>
        </c:title>
        <c:numFmt formatCode="0.0%" sourceLinked="0"/>
        <c:majorTickMark val="out"/>
        <c:minorTickMark val="none"/>
        <c:tickLblPos val="nextTo"/>
        <c:txPr>
          <a:bodyPr rot="0" vert="horz"/>
          <a:lstStyle/>
          <a:p>
            <a:pPr>
              <a:defRPr sz="1000" b="1" i="0" u="none" strike="noStrike" baseline="0">
                <a:solidFill>
                  <a:srgbClr val="FF0000"/>
                </a:solidFill>
                <a:latin typeface="Calibri"/>
                <a:ea typeface="Calibri"/>
                <a:cs typeface="Calibri"/>
              </a:defRPr>
            </a:pPr>
            <a:endParaRPr lang="en-US"/>
          </a:p>
        </c:txPr>
        <c:crossAx val="659146104"/>
        <c:crosses val="autoZero"/>
        <c:crossBetween val="between"/>
      </c:valAx>
      <c:catAx>
        <c:axId val="659141008"/>
        <c:scaling>
          <c:orientation val="minMax"/>
        </c:scaling>
        <c:delete val="1"/>
        <c:axPos val="b"/>
        <c:numFmt formatCode="General" sourceLinked="1"/>
        <c:majorTickMark val="out"/>
        <c:minorTickMark val="none"/>
        <c:tickLblPos val="nextTo"/>
        <c:crossAx val="659143752"/>
        <c:crosses val="autoZero"/>
        <c:auto val="1"/>
        <c:lblAlgn val="ctr"/>
        <c:lblOffset val="100"/>
        <c:noMultiLvlLbl val="0"/>
      </c:catAx>
      <c:valAx>
        <c:axId val="659143752"/>
        <c:scaling>
          <c:orientation val="minMax"/>
          <c:max val="0.35000000000000003"/>
          <c:min val="0.2"/>
        </c:scaling>
        <c:delete val="0"/>
        <c:axPos val="r"/>
        <c:title>
          <c:tx>
            <c:rich>
              <a:bodyPr rot="0" vert="horz"/>
              <a:lstStyle/>
              <a:p>
                <a:pPr algn="ctr">
                  <a:defRPr sz="1000" b="1" i="0" u="none" strike="noStrike" baseline="0">
                    <a:solidFill>
                      <a:srgbClr val="000000"/>
                    </a:solidFill>
                    <a:latin typeface="Calibri"/>
                    <a:ea typeface="Calibri"/>
                    <a:cs typeface="Calibri"/>
                  </a:defRPr>
                </a:pPr>
                <a:r>
                  <a:rPr lang="en-NZ"/>
                  <a:t>Core Crown %GDP</a:t>
                </a:r>
              </a:p>
            </c:rich>
          </c:tx>
          <c:layout>
            <c:manualLayout>
              <c:xMode val="edge"/>
              <c:yMode val="edge"/>
              <c:x val="0.80742085108213935"/>
              <c:y val="0.10437241663081902"/>
            </c:manualLayout>
          </c:layout>
          <c:overlay val="0"/>
        </c:title>
        <c:numFmt formatCode="0.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1008"/>
        <c:crosses val="max"/>
        <c:crossBetween val="between"/>
        <c:majorUnit val="2.5000000000000005E-2"/>
      </c:valAx>
    </c:plotArea>
    <c:legend>
      <c:legendPos val="b"/>
      <c:legendEntry>
        <c:idx val="0"/>
        <c:delete val="1"/>
      </c:legendEntry>
      <c:legendEntry>
        <c:idx val="2"/>
        <c:delete val="1"/>
      </c:legendEntry>
      <c:layout>
        <c:manualLayout>
          <c:xMode val="edge"/>
          <c:yMode val="edge"/>
          <c:x val="0.10451426358590422"/>
          <c:y val="0.9014412628350198"/>
          <c:w val="0.83905890452218068"/>
          <c:h val="5.7337797145903036E-2"/>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en-NZ"/>
              <a:t>Annual increases in GDP and Vote Health funding</a:t>
            </a:r>
          </a:p>
        </c:rich>
      </c:tx>
      <c:layout/>
      <c:overlay val="0"/>
    </c:title>
    <c:autoTitleDeleted val="0"/>
    <c:plotArea>
      <c:layout/>
      <c:lineChart>
        <c:grouping val="standard"/>
        <c:varyColors val="0"/>
        <c:ser>
          <c:idx val="2"/>
          <c:order val="0"/>
          <c:tx>
            <c:strRef>
              <c:f>'Compared to Total Exp, GDP'!$A$24</c:f>
              <c:strCache>
                <c:ptCount val="1"/>
                <c:pt idx="0">
                  <c:v>GDP (Nominal)</c:v>
                </c:pt>
              </c:strCache>
            </c:strRef>
          </c:tx>
          <c:marker>
            <c:symbol val="none"/>
          </c:marker>
          <c:cat>
            <c:numRef>
              <c:f>'Compared to Total Exp, GDP'!$J$20:$U$20</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'Compared to Total Exp, GDP'!$J$24:$U$24</c:f>
              <c:numCache>
                <c:formatCode>0.0%</c:formatCode>
                <c:ptCount val="12"/>
                <c:pt idx="0">
                  <c:v>2.6606577061216719E-3</c:v>
                </c:pt>
                <c:pt idx="1">
                  <c:v>3.787311267501603E-2</c:v>
                </c:pt>
                <c:pt idx="2">
                  <c:v>4.6235252855392872E-2</c:v>
                </c:pt>
                <c:pt idx="3">
                  <c:v>4.5144270243746121E-2</c:v>
                </c:pt>
                <c:pt idx="4">
                  <c:v>1.689746700694017E-2</c:v>
                </c:pt>
                <c:pt idx="5">
                  <c:v>8.2128033059664762E-2</c:v>
                </c:pt>
                <c:pt idx="6">
                  <c:v>3.4099069794949255E-2</c:v>
                </c:pt>
                <c:pt idx="7">
                  <c:v>5.0503688815902281E-2</c:v>
                </c:pt>
                <c:pt idx="8">
                  <c:v>6.3031533265670348E-2</c:v>
                </c:pt>
                <c:pt idx="9">
                  <c:v>5.6173774353796668E-2</c:v>
                </c:pt>
                <c:pt idx="10">
                  <c:v>3.80677606832871E-2</c:v>
                </c:pt>
                <c:pt idx="11">
                  <c:v>5.7535041856709546E-2</c:v>
                </c:pt>
              </c:numCache>
            </c:numRef>
          </c:val>
          <c:smooth val="0"/>
        </c:ser>
        <c:ser>
          <c:idx val="0"/>
          <c:order val="1"/>
          <c:tx>
            <c:strRef>
              <c:f>'Compared to Total Exp, GDP'!$A$21</c:f>
              <c:strCache>
                <c:ptCount val="1"/>
                <c:pt idx="0">
                  <c:v>Vote Health expenses</c:v>
                </c:pt>
              </c:strCache>
            </c:strRef>
          </c:tx>
          <c:marker>
            <c:symbol val="none"/>
          </c:marker>
          <c:cat>
            <c:numRef>
              <c:f>'Compared to Total Exp, GDP'!$J$20:$U$20</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'Compared to Total Exp, GDP'!$J$21:$U$21</c:f>
              <c:numCache>
                <c:formatCode>0.0%</c:formatCode>
                <c:ptCount val="12"/>
                <c:pt idx="0">
                  <c:v>7.8673465068300974E-2</c:v>
                </c:pt>
                <c:pt idx="1">
                  <c:v>6.2714412504895733E-2</c:v>
                </c:pt>
                <c:pt idx="2">
                  <c:v>3.6472742903547406E-2</c:v>
                </c:pt>
                <c:pt idx="3">
                  <c:v>3.6709183175182458E-2</c:v>
                </c:pt>
                <c:pt idx="4">
                  <c:v>2.677418413993915E-2</c:v>
                </c:pt>
                <c:pt idx="5">
                  <c:v>3.1294365478693908E-2</c:v>
                </c:pt>
                <c:pt idx="6">
                  <c:v>2.0937900299820456E-2</c:v>
                </c:pt>
                <c:pt idx="7">
                  <c:v>3.1229609040117623E-2</c:v>
                </c:pt>
                <c:pt idx="8">
                  <c:v>3.2635509939856311E-2</c:v>
                </c:pt>
                <c:pt idx="9">
                  <c:v>5.8979474814653932E-2</c:v>
                </c:pt>
                <c:pt idx="10">
                  <c:v>6.2135615755976259E-2</c:v>
                </c:pt>
                <c:pt idx="11">
                  <c:v>5.6799731616498317E-2</c:v>
                </c:pt>
              </c:numCache>
            </c:numRef>
          </c:val>
          <c:smooth val="0"/>
        </c:ser>
        <c:dLbls>
          <c:showLegendKey val="0"/>
          <c:showVal val="0"/>
          <c:showCatName val="0"/>
          <c:showSerName val="0"/>
          <c:showPercent val="0"/>
          <c:showBubbleSize val="0"/>
        </c:dLbls>
        <c:smooth val="0"/>
        <c:axId val="659146888"/>
        <c:axId val="659142968"/>
      </c:lineChart>
      <c:catAx>
        <c:axId val="65914688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2968"/>
        <c:crosses val="autoZero"/>
        <c:auto val="1"/>
        <c:lblAlgn val="ctr"/>
        <c:lblOffset val="100"/>
        <c:noMultiLvlLbl val="0"/>
      </c:catAx>
      <c:valAx>
        <c:axId val="659142968"/>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6888"/>
        <c:crosses val="autoZero"/>
        <c:crossBetween val="between"/>
      </c:valAx>
    </c:plotArea>
    <c:legend>
      <c:legendPos val="r"/>
      <c:layout/>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NZ"/>
              <a:t>Rolling Annual increases in GDP and Government Health funding</a:t>
            </a:r>
          </a:p>
        </c:rich>
      </c:tx>
      <c:layout/>
      <c:overlay val="0"/>
    </c:title>
    <c:autoTitleDeleted val="0"/>
    <c:plotArea>
      <c:layout>
        <c:manualLayout>
          <c:layoutTarget val="inner"/>
          <c:xMode val="edge"/>
          <c:yMode val="edge"/>
          <c:x val="9.6085739282589677E-2"/>
          <c:y val="0.15679319395420399"/>
          <c:w val="0.61836915403368176"/>
          <c:h val="0.70503828400760249"/>
        </c:manualLayout>
      </c:layout>
      <c:lineChart>
        <c:grouping val="standard"/>
        <c:varyColors val="0"/>
        <c:ser>
          <c:idx val="0"/>
          <c:order val="0"/>
          <c:tx>
            <c:strRef>
              <c:f>'Compared to Total Exp, GDP'!$Z$21</c:f>
              <c:strCache>
                <c:ptCount val="1"/>
                <c:pt idx="0">
                  <c:v>Vote Health expenses</c:v>
                </c:pt>
              </c:strCache>
            </c:strRef>
          </c:tx>
          <c:marker>
            <c:symbol val="none"/>
          </c:marker>
          <c:cat>
            <c:numRef>
              <c:f>'Compared to Total Exp, GDP'!$AB$20:$AL$20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'Compared to Total Exp, GDP'!$AB$21:$AL$21</c:f>
              <c:numCache>
                <c:formatCode>0.0%</c:formatCode>
                <c:ptCount val="11"/>
                <c:pt idx="0">
                  <c:v>7.7239813856639694E-2</c:v>
                </c:pt>
                <c:pt idx="1">
                  <c:v>5.8335384000101742E-2</c:v>
                </c:pt>
                <c:pt idx="2">
                  <c:v>4.4848381364040124E-2</c:v>
                </c:pt>
                <c:pt idx="3">
                  <c:v>3.3201685232439049E-2</c:v>
                </c:pt>
                <c:pt idx="4">
                  <c:v>3.1529342252625714E-2</c:v>
                </c:pt>
                <c:pt idx="5">
                  <c:v>2.6275469860779221E-2</c:v>
                </c:pt>
                <c:pt idx="6">
                  <c:v>2.7809244988130422E-2</c:v>
                </c:pt>
                <c:pt idx="7">
                  <c:v>2.8362908898362127E-2</c:v>
                </c:pt>
                <c:pt idx="8">
                  <c:v>4.1242226201633203E-2</c:v>
                </c:pt>
                <c:pt idx="9">
                  <c:v>5.1656597251272363E-2</c:v>
                </c:pt>
                <c:pt idx="10">
                  <c:v>5.9259193612597461E-2</c:v>
                </c:pt>
              </c:numCache>
            </c:numRef>
          </c:val>
          <c:smooth val="0"/>
        </c:ser>
        <c:ser>
          <c:idx val="2"/>
          <c:order val="1"/>
          <c:tx>
            <c:strRef>
              <c:f>'Compared to Total Exp, GDP'!$Z$24</c:f>
              <c:strCache>
                <c:ptCount val="1"/>
                <c:pt idx="0">
                  <c:v>GDP (Nominal)</c:v>
                </c:pt>
              </c:strCache>
            </c:strRef>
          </c:tx>
          <c:marker>
            <c:symbol val="none"/>
          </c:marker>
          <c:cat>
            <c:numRef>
              <c:f>'Compared to Total Exp, GDP'!$AB$20:$AL$20</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'Compared to Total Exp, GDP'!$AB$24:$AL$24</c:f>
              <c:numCache>
                <c:formatCode>0.0%</c:formatCode>
                <c:ptCount val="11"/>
                <c:pt idx="0">
                  <c:v>3.792608895664018E-2</c:v>
                </c:pt>
                <c:pt idx="1">
                  <c:v>2.9161988257337512E-2</c:v>
                </c:pt>
                <c:pt idx="2">
                  <c:v>4.3179039242310591E-2</c:v>
                </c:pt>
                <c:pt idx="3">
                  <c:v>3.5654210978770751E-2</c:v>
                </c:pt>
                <c:pt idx="4">
                  <c:v>4.829249686574788E-2</c:v>
                </c:pt>
                <c:pt idx="5">
                  <c:v>4.4248500221443665E-2</c:v>
                </c:pt>
                <c:pt idx="6">
                  <c:v>5.483726323485727E-2</c:v>
                </c:pt>
                <c:pt idx="7">
                  <c:v>4.960787791079424E-2</c:v>
                </c:pt>
                <c:pt idx="8">
                  <c:v>5.6658115325731062E-2</c:v>
                </c:pt>
                <c:pt idx="9">
                  <c:v>5.1945388742073551E-2</c:v>
                </c:pt>
                <c:pt idx="10">
                  <c:v>5.0581282685910001E-2</c:v>
                </c:pt>
              </c:numCache>
            </c:numRef>
          </c:val>
          <c:smooth val="0"/>
        </c:ser>
        <c:dLbls>
          <c:showLegendKey val="0"/>
          <c:showVal val="0"/>
          <c:showCatName val="0"/>
          <c:showSerName val="0"/>
          <c:showPercent val="0"/>
          <c:showBubbleSize val="0"/>
        </c:dLbls>
        <c:smooth val="0"/>
        <c:axId val="659142184"/>
        <c:axId val="659147672"/>
      </c:lineChart>
      <c:catAx>
        <c:axId val="65914218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7672"/>
        <c:crosses val="autoZero"/>
        <c:auto val="1"/>
        <c:lblAlgn val="ctr"/>
        <c:lblOffset val="100"/>
        <c:noMultiLvlLbl val="0"/>
      </c:catAx>
      <c:valAx>
        <c:axId val="659147672"/>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142184"/>
        <c:crosses val="autoZero"/>
        <c:crossBetween val="between"/>
      </c:valAx>
    </c:plotArea>
    <c:legend>
      <c:legendPos val="r"/>
      <c:layout/>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8.xml"/><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 Id="rId9"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31</xdr:col>
      <xdr:colOff>2105025</xdr:colOff>
      <xdr:row>134</xdr:row>
      <xdr:rowOff>57150</xdr:rowOff>
    </xdr:from>
    <xdr:to>
      <xdr:col>45</xdr:col>
      <xdr:colOff>247650</xdr:colOff>
      <xdr:row>161</xdr:row>
      <xdr:rowOff>38100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179292</xdr:colOff>
      <xdr:row>111</xdr:row>
      <xdr:rowOff>134471</xdr:rowOff>
    </xdr:from>
    <xdr:to>
      <xdr:col>31</xdr:col>
      <xdr:colOff>2734235</xdr:colOff>
      <xdr:row>114</xdr:row>
      <xdr:rowOff>0</xdr:rowOff>
    </xdr:to>
    <xdr:sp macro="[1]!SummariseMultiyear" textlink="">
      <xdr:nvSpPr>
        <xdr:cNvPr id="3" name="TextBox 2"/>
        <xdr:cNvSpPr txBox="1"/>
      </xdr:nvSpPr>
      <xdr:spPr>
        <a:xfrm>
          <a:off x="31478442" y="21327596"/>
          <a:ext cx="2554943" cy="437029"/>
        </a:xfrm>
        <a:prstGeom prst="rect">
          <a:avLst/>
        </a:prstGeom>
        <a:solidFill>
          <a:schemeClr val="accent6">
            <a:lumMod val="20000"/>
            <a:lumOff val="80000"/>
          </a:schemeClr>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NZ" sz="1100" b="1">
              <a:latin typeface="Arial" panose="020B0604020202020204" pitchFamily="34" charset="0"/>
              <a:cs typeface="Arial" panose="020B0604020202020204" pitchFamily="34" charset="0"/>
            </a:rPr>
            <a:t>Click here to update summary</a:t>
          </a:r>
          <a:endParaRPr lang="en-NZ"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0.79473</cdr:x>
      <cdr:y>0.20599</cdr:y>
    </cdr:from>
    <cdr:to>
      <cdr:x>0.80817</cdr:x>
      <cdr:y>0.35032</cdr:y>
    </cdr:to>
    <cdr:sp macro="" textlink="">
      <cdr:nvSpPr>
        <cdr:cNvPr id="6" name="Right Brace 5"/>
        <cdr:cNvSpPr/>
      </cdr:nvSpPr>
      <cdr:spPr>
        <a:xfrm xmlns:a="http://schemas.openxmlformats.org/drawingml/2006/main">
          <a:off x="8890046" y="1055576"/>
          <a:ext cx="150344" cy="739611"/>
        </a:xfrm>
        <a:prstGeom xmlns:a="http://schemas.openxmlformats.org/drawingml/2006/main" prst="rightBrac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en-NZ"/>
        </a:p>
      </cdr:txBody>
    </cdr:sp>
  </cdr:relSizeAnchor>
  <cdr:relSizeAnchor xmlns:cdr="http://schemas.openxmlformats.org/drawingml/2006/chartDrawing">
    <cdr:from>
      <cdr:x>0.80957</cdr:x>
      <cdr:y>0.25714</cdr:y>
    </cdr:from>
    <cdr:to>
      <cdr:x>0.92706</cdr:x>
      <cdr:y>0.3198</cdr:y>
    </cdr:to>
    <cdr:sp macro="" textlink="">
      <cdr:nvSpPr>
        <cdr:cNvPr id="7" name="TextBox 1"/>
        <cdr:cNvSpPr txBox="1"/>
      </cdr:nvSpPr>
      <cdr:spPr>
        <a:xfrm xmlns:a="http://schemas.openxmlformats.org/drawingml/2006/main">
          <a:off x="8622393" y="1317693"/>
          <a:ext cx="1251342" cy="3210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NZ" sz="1400" b="1"/>
            <a:t>$1.6 billion</a:t>
          </a:r>
        </a:p>
      </cdr:txBody>
    </cdr:sp>
  </cdr:relSizeAnchor>
</c:userShapes>
</file>

<file path=xl/drawings/drawing3.xml><?xml version="1.0" encoding="utf-8"?>
<xdr:wsDr xmlns:xdr="http://schemas.openxmlformats.org/drawingml/2006/spreadsheetDrawing" xmlns:a="http://schemas.openxmlformats.org/drawingml/2006/main">
  <xdr:twoCellAnchor>
    <xdr:from>
      <xdr:col>9</xdr:col>
      <xdr:colOff>390525</xdr:colOff>
      <xdr:row>26</xdr:row>
      <xdr:rowOff>0</xdr:rowOff>
    </xdr:from>
    <xdr:to>
      <xdr:col>15</xdr:col>
      <xdr:colOff>733425</xdr:colOff>
      <xdr:row>42</xdr:row>
      <xdr:rowOff>47625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238125</xdr:colOff>
      <xdr:row>48</xdr:row>
      <xdr:rowOff>85725</xdr:rowOff>
    </xdr:from>
    <xdr:to>
      <xdr:col>7</xdr:col>
      <xdr:colOff>542925</xdr:colOff>
      <xdr:row>64</xdr:row>
      <xdr:rowOff>123825</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590550</xdr:colOff>
      <xdr:row>26</xdr:row>
      <xdr:rowOff>0</xdr:rowOff>
    </xdr:from>
    <xdr:to>
      <xdr:col>28</xdr:col>
      <xdr:colOff>466725</xdr:colOff>
      <xdr:row>40</xdr:row>
      <xdr:rowOff>76200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19050</xdr:colOff>
      <xdr:row>25</xdr:row>
      <xdr:rowOff>76200</xdr:rowOff>
    </xdr:from>
    <xdr:to>
      <xdr:col>38</xdr:col>
      <xdr:colOff>495300</xdr:colOff>
      <xdr:row>39</xdr:row>
      <xdr:rowOff>171450</xdr:rowOff>
    </xdr:to>
    <xdr:graphicFrame macro="">
      <xdr:nvGraphicFramePr>
        <xdr:cNvPr id="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19050</xdr:colOff>
      <xdr:row>25</xdr:row>
      <xdr:rowOff>19050</xdr:rowOff>
    </xdr:from>
    <xdr:to>
      <xdr:col>8</xdr:col>
      <xdr:colOff>523875</xdr:colOff>
      <xdr:row>47</xdr:row>
      <xdr:rowOff>114300</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342900</xdr:colOff>
      <xdr:row>42</xdr:row>
      <xdr:rowOff>114300</xdr:rowOff>
    </xdr:from>
    <xdr:to>
      <xdr:col>17</xdr:col>
      <xdr:colOff>723900</xdr:colOff>
      <xdr:row>63</xdr:row>
      <xdr:rowOff>104775</xdr:rowOff>
    </xdr:to>
    <xdr:graphicFrame macro="">
      <xdr:nvGraphicFramePr>
        <xdr:cNvPr id="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23</xdr:col>
      <xdr:colOff>609600</xdr:colOff>
      <xdr:row>40</xdr:row>
      <xdr:rowOff>133350</xdr:rowOff>
    </xdr:from>
    <xdr:to>
      <xdr:col>28</xdr:col>
      <xdr:colOff>485775</xdr:colOff>
      <xdr:row>55</xdr:row>
      <xdr:rowOff>0</xdr:rowOff>
    </xdr:to>
    <xdr:graphicFrame macro="">
      <xdr:nvGraphicFramePr>
        <xdr:cNvPr id="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30</xdr:col>
      <xdr:colOff>0</xdr:colOff>
      <xdr:row>41</xdr:row>
      <xdr:rowOff>0</xdr:rowOff>
    </xdr:from>
    <xdr:to>
      <xdr:col>38</xdr:col>
      <xdr:colOff>476250</xdr:colOff>
      <xdr:row>55</xdr:row>
      <xdr:rowOff>76200</xdr:rowOff>
    </xdr:to>
    <xdr:graphicFrame macro="">
      <xdr:nvGraphicFramePr>
        <xdr:cNvPr id="9"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15</xdr:col>
      <xdr:colOff>476250</xdr:colOff>
      <xdr:row>59</xdr:row>
      <xdr:rowOff>0</xdr:rowOff>
    </xdr:from>
    <xdr:to>
      <xdr:col>21</xdr:col>
      <xdr:colOff>504825</xdr:colOff>
      <xdr:row>73</xdr:row>
      <xdr:rowOff>76200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88</xdr:col>
      <xdr:colOff>438150</xdr:colOff>
      <xdr:row>99</xdr:row>
      <xdr:rowOff>57150</xdr:rowOff>
    </xdr:from>
    <xdr:to>
      <xdr:col>97</xdr:col>
      <xdr:colOff>590550</xdr:colOff>
      <xdr:row>131</xdr:row>
      <xdr:rowOff>114300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130</xdr:col>
      <xdr:colOff>342900</xdr:colOff>
      <xdr:row>44</xdr:row>
      <xdr:rowOff>123825</xdr:rowOff>
    </xdr:from>
    <xdr:to>
      <xdr:col>138</xdr:col>
      <xdr:colOff>628650</xdr:colOff>
      <xdr:row>67</xdr:row>
      <xdr:rowOff>76200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119</xdr:col>
      <xdr:colOff>19050</xdr:colOff>
      <xdr:row>124</xdr:row>
      <xdr:rowOff>161925</xdr:rowOff>
    </xdr:from>
    <xdr:to>
      <xdr:col>127</xdr:col>
      <xdr:colOff>561975</xdr:colOff>
      <xdr:row>145</xdr:row>
      <xdr:rowOff>171450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101</xdr:col>
      <xdr:colOff>590550</xdr:colOff>
      <xdr:row>115</xdr:row>
      <xdr:rowOff>95250</xdr:rowOff>
    </xdr:from>
    <xdr:to>
      <xdr:col>111</xdr:col>
      <xdr:colOff>457200</xdr:colOff>
      <xdr:row>137</xdr:row>
      <xdr:rowOff>95250</xdr:rowOff>
    </xdr:to>
    <xdr:graphicFrame macro="">
      <xdr:nvGraphicFramePr>
        <xdr:cNvPr id="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476250</xdr:colOff>
      <xdr:row>137</xdr:row>
      <xdr:rowOff>133350</xdr:rowOff>
    </xdr:from>
    <xdr:to>
      <xdr:col>109</xdr:col>
      <xdr:colOff>209550</xdr:colOff>
      <xdr:row>156</xdr:row>
      <xdr:rowOff>133350</xdr:rowOff>
    </xdr:to>
    <xdr:graphicFrame macro="">
      <xdr:nvGraphicFramePr>
        <xdr:cNvPr id="6"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157</xdr:col>
      <xdr:colOff>57150</xdr:colOff>
      <xdr:row>6</xdr:row>
      <xdr:rowOff>76200</xdr:rowOff>
    </xdr:from>
    <xdr:to>
      <xdr:col>167</xdr:col>
      <xdr:colOff>228600</xdr:colOff>
      <xdr:row>20</xdr:row>
      <xdr:rowOff>152400</xdr:rowOff>
    </xdr:to>
    <xdr:graphicFrame macro="">
      <xdr:nvGraphicFramePr>
        <xdr:cNvPr id="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157</xdr:col>
      <xdr:colOff>0</xdr:colOff>
      <xdr:row>22</xdr:row>
      <xdr:rowOff>0</xdr:rowOff>
    </xdr:from>
    <xdr:to>
      <xdr:col>167</xdr:col>
      <xdr:colOff>171450</xdr:colOff>
      <xdr:row>37</xdr:row>
      <xdr:rowOff>76200</xdr:rowOff>
    </xdr:to>
    <xdr:graphicFrame macro="">
      <xdr:nvGraphicFramePr>
        <xdr:cNvPr id="8"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190500</xdr:colOff>
      <xdr:row>97</xdr:row>
      <xdr:rowOff>161925</xdr:rowOff>
    </xdr:from>
    <xdr:to>
      <xdr:col>13</xdr:col>
      <xdr:colOff>495300</xdr:colOff>
      <xdr:row>128</xdr:row>
      <xdr:rowOff>123825</xdr:rowOff>
    </xdr:to>
    <xdr:graphicFrame macro="">
      <xdr:nvGraphicFramePr>
        <xdr:cNvPr id="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23</xdr:col>
      <xdr:colOff>466725</xdr:colOff>
      <xdr:row>72</xdr:row>
      <xdr:rowOff>171450</xdr:rowOff>
    </xdr:from>
    <xdr:to>
      <xdr:col>34</xdr:col>
      <xdr:colOff>123825</xdr:colOff>
      <xdr:row>96</xdr:row>
      <xdr:rowOff>47625</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ealth%20Sector%20-%20201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ill/Documents/Docs/CTU/Budget/2019/Budget%20documents/b19-expenditure-data%20-%20annot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ill/Documents/Docs/CTU/Budget/2016/budget/excel/befu2016/befu16-charts-dat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ill/Documents/Docs/CTU/Health/DHBs/DHB%20stats/DHB%20Consolidated%20Account%20Information%20from%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opulation%20projections/DHB%200-30%20Years%20Age-Sex%20Projections%202013-Base%20(2018%20Upda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opulation%20projections/DHB%20DEMO%20MODEL%202018%20V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opulation%20projections/DHB%20Births%20and%20Deaths%20Projections%202019-38%20(2018%20Updat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opulation%20projections/DEMO%20MODEL%202015%20simple%20-%20updated%20for%202016%20(wj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year"/>
      <sheetName val="Compared to Total Exp, GDP"/>
      <sheetName val="DHB Stats"/>
      <sheetName val="Demographics"/>
      <sheetName val="Wage, price statistics"/>
      <sheetName val="Initiatives, Savings"/>
      <sheetName val="Health Vote 2019-20 post-Budget"/>
      <sheetName val="2019 Health appropriations"/>
      <sheetName val="Notes 2019-20 post-Budget"/>
      <sheetName val="Health Vote 2019-20 pre-Budget"/>
      <sheetName val="Notes 2019-20 pre-Budget"/>
      <sheetName val="Health Vote 2018-19 end of FY"/>
      <sheetName val="Health Vote 2018-19 post-Budget"/>
      <sheetName val="2018 Health appropriations"/>
      <sheetName val="Health Vote 2018-19 pre-Budget"/>
      <sheetName val="Notes 2018-19 pre-Budget"/>
      <sheetName val="Health Vote 2017-18 post-Budget"/>
      <sheetName val="2017 Health appropriations"/>
      <sheetName val="Health Vote 2017-18 pre-Budget"/>
      <sheetName val="Notes 2017-18 pre-Budget"/>
      <sheetName val="Settlements"/>
      <sheetName val="Multiyear discontinued"/>
      <sheetName val="MOH, Coleman calc"/>
      <sheetName val="Official shortfall ests"/>
      <sheetName val="Mental Health"/>
      <sheetName val="Health Vote 2016-17"/>
      <sheetName val="2016 Health appropriations"/>
      <sheetName val="Health Vote 2016-17 pre-Budget"/>
      <sheetName val="Notes 2016-17 pre-Budget"/>
      <sheetName val="MOH financial report 2015"/>
      <sheetName val="Health Vote 2015-16"/>
      <sheetName val="2015 Health appropriations"/>
      <sheetName val="Health Vote 2015-16 pre-Budget"/>
      <sheetName val="Health Vote 2014-15"/>
      <sheetName val="2014 Health appropriations"/>
      <sheetName val="Health Vote 2014-15 pre-Budget"/>
      <sheetName val="Labour-Infometrics"/>
      <sheetName val="Health Vote 2013-14"/>
      <sheetName val="Health Vote 2013-14 pre-Budget"/>
      <sheetName val="2013 Health appropriations"/>
      <sheetName val="HBL"/>
      <sheetName val="Population, ageing"/>
      <sheetName val="Ministry est 2012-13"/>
      <sheetName val="Health Vote 2012-13"/>
      <sheetName val="2012 Health appropriations"/>
      <sheetName val="2012 Health initiatives"/>
      <sheetName val="Supplementary Estimates 2011-12"/>
      <sheetName val="Health Vote 2011-12"/>
      <sheetName val="2011 Health appropriations"/>
      <sheetName val="2011 Health initiatives"/>
      <sheetName val="Supplementary Estimates 2010-11"/>
      <sheetName val="Health Vote 2010-11 - post"/>
      <sheetName val="Health Vote 2010-11"/>
      <sheetName val="2010 Health appropriations"/>
      <sheetName val="2010 New Policy initiatives"/>
      <sheetName val="2009 New Policy Initiatives"/>
      <sheetName val="2008 New Policy Initiatives"/>
      <sheetName val="2007 New Policy Initiatives"/>
      <sheetName val="2006 New Policy Initiatives"/>
      <sheetName val="Consolidated DHB Personnel Exp"/>
      <sheetName val="Employees"/>
      <sheetName val="Personnel costs"/>
      <sheetName val="Calc"/>
      <sheetName val="Average wage"/>
      <sheetName val="Wage aggregates"/>
    </sheetNames>
    <definedNames>
      <definedName name="SummariseMultiyear"/>
    </definedNames>
    <sheetDataSet>
      <sheetData sheetId="0">
        <row r="113">
          <cell r="AG113">
            <v>2010</v>
          </cell>
          <cell r="AH113">
            <v>2011</v>
          </cell>
          <cell r="AI113">
            <v>2012</v>
          </cell>
          <cell r="AJ113">
            <v>2013</v>
          </cell>
          <cell r="AK113">
            <v>2014</v>
          </cell>
          <cell r="AL113">
            <v>2015</v>
          </cell>
          <cell r="AM113">
            <v>2016</v>
          </cell>
          <cell r="AN113">
            <v>2017</v>
          </cell>
          <cell r="AO113">
            <v>2018</v>
          </cell>
          <cell r="AP113">
            <v>2019</v>
          </cell>
          <cell r="AQ113">
            <v>2020</v>
          </cell>
        </row>
        <row r="114">
          <cell r="AG114" t="str">
            <v>Actual</v>
          </cell>
          <cell r="AH114" t="str">
            <v>Actual</v>
          </cell>
          <cell r="AI114" t="str">
            <v>Actual</v>
          </cell>
          <cell r="AJ114" t="str">
            <v>Actual</v>
          </cell>
          <cell r="AK114" t="str">
            <v>Actual</v>
          </cell>
          <cell r="AL114" t="str">
            <v>Actual</v>
          </cell>
          <cell r="AM114" t="str">
            <v>Actual</v>
          </cell>
          <cell r="AN114" t="str">
            <v>Actual</v>
          </cell>
          <cell r="AO114" t="str">
            <v>Actual</v>
          </cell>
          <cell r="AP114" t="str">
            <v>Budget/Est</v>
          </cell>
          <cell r="AQ114" t="str">
            <v>Budget/Est</v>
          </cell>
        </row>
        <row r="125">
          <cell r="AF125" t="str">
            <v>Population increases</v>
          </cell>
          <cell r="AH125">
            <v>91360.670188298449</v>
          </cell>
          <cell r="AI125">
            <v>156079.96489668265</v>
          </cell>
          <cell r="AJ125">
            <v>248838.73459154181</v>
          </cell>
          <cell r="AK125">
            <v>453858.09630439617</v>
          </cell>
          <cell r="AL125">
            <v>665580.46076281555</v>
          </cell>
          <cell r="AM125">
            <v>917923.78806444444</v>
          </cell>
          <cell r="AN125">
            <v>1192848.2650758345</v>
          </cell>
          <cell r="AO125">
            <v>1465596.7500458993</v>
          </cell>
          <cell r="AP125">
            <v>1740876.1792971473</v>
          </cell>
          <cell r="AQ125">
            <v>1763388.978143679</v>
          </cell>
        </row>
        <row r="126">
          <cell r="AF126" t="str">
            <v>Aging population</v>
          </cell>
          <cell r="AH126">
            <v>112463.49143598229</v>
          </cell>
          <cell r="AI126">
            <v>220427.33850956149</v>
          </cell>
          <cell r="AJ126">
            <v>300074.37082939595</v>
          </cell>
          <cell r="AK126">
            <v>307159.67098781653</v>
          </cell>
          <cell r="AL126">
            <v>358545.12902053073</v>
          </cell>
          <cell r="AM126">
            <v>424490.76304164901</v>
          </cell>
          <cell r="AN126">
            <v>511062.59065646119</v>
          </cell>
          <cell r="AO126">
            <v>606442.06014769711</v>
          </cell>
          <cell r="AP126">
            <v>711062.72881803103</v>
          </cell>
          <cell r="AQ126">
            <v>833403.67367465049</v>
          </cell>
        </row>
        <row r="127">
          <cell r="AF127" t="str">
            <v>Wage rises</v>
          </cell>
          <cell r="AH127">
            <v>203345.36620911211</v>
          </cell>
          <cell r="AI127">
            <v>353095.45640799403</v>
          </cell>
          <cell r="AJ127">
            <v>572949.77782160789</v>
          </cell>
          <cell r="AK127">
            <v>689760.89465076476</v>
          </cell>
          <cell r="AL127">
            <v>1028894.7380396314</v>
          </cell>
          <cell r="AM127">
            <v>1293793.1796636526</v>
          </cell>
          <cell r="AN127">
            <v>1653160.1818323117</v>
          </cell>
          <cell r="AO127">
            <v>1914300.9675568491</v>
          </cell>
          <cell r="AP127">
            <v>2170453.7621635385</v>
          </cell>
          <cell r="AQ127">
            <v>2570617.642584471</v>
          </cell>
        </row>
        <row r="128">
          <cell r="AF128" t="str">
            <v>Price rises</v>
          </cell>
          <cell r="AH128">
            <v>154436.98636366613</v>
          </cell>
          <cell r="AI128">
            <v>211349.48637601174</v>
          </cell>
          <cell r="AJ128">
            <v>253668.22744497843</v>
          </cell>
          <cell r="AK128">
            <v>340199.38214028813</v>
          </cell>
          <cell r="AL128">
            <v>378658.90019519627</v>
          </cell>
          <cell r="AM128">
            <v>419082.63563429564</v>
          </cell>
          <cell r="AN128">
            <v>541080.35961394757</v>
          </cell>
          <cell r="AO128">
            <v>659918.09362967871</v>
          </cell>
          <cell r="AP128">
            <v>785545.20177157596</v>
          </cell>
          <cell r="AQ128">
            <v>952445.45642331615</v>
          </cell>
        </row>
        <row r="129">
          <cell r="AF129" t="str">
            <v>New initiatives (less savings)</v>
          </cell>
          <cell r="AH129">
            <v>101393</v>
          </cell>
          <cell r="AI129">
            <v>189928.27914752997</v>
          </cell>
          <cell r="AJ129">
            <v>220503.10084779747</v>
          </cell>
          <cell r="AK129">
            <v>279167.02814264782</v>
          </cell>
          <cell r="AL129">
            <v>325843.84699031152</v>
          </cell>
          <cell r="AM129">
            <v>413565.91927997954</v>
          </cell>
          <cell r="AN129">
            <v>553278.22936861403</v>
          </cell>
          <cell r="AO129">
            <v>847078.82665653899</v>
          </cell>
          <cell r="AP129">
            <v>957275.50826005638</v>
          </cell>
          <cell r="AQ129">
            <v>1131973.9028983302</v>
          </cell>
        </row>
        <row r="133">
          <cell r="AF133" t="str">
            <v>Increase actually funded</v>
          </cell>
          <cell r="AH133">
            <v>450386</v>
          </cell>
          <cell r="AI133">
            <v>920225</v>
          </cell>
          <cell r="AJ133">
            <v>1275486</v>
          </cell>
          <cell r="AK133">
            <v>1701842</v>
          </cell>
          <cell r="AL133">
            <v>1996028</v>
          </cell>
          <cell r="AM133">
            <v>2444004</v>
          </cell>
          <cell r="AN133">
            <v>2926767</v>
          </cell>
          <cell r="AO133">
            <v>3827698</v>
          </cell>
          <cell r="AP133">
            <v>4832820</v>
          </cell>
          <cell r="AQ133">
            <v>5808718</v>
          </cell>
        </row>
      </sheetData>
      <sheetData sheetId="1">
        <row r="2">
          <cell r="H2">
            <v>2007</v>
          </cell>
          <cell r="I2">
            <v>2008</v>
          </cell>
          <cell r="J2">
            <v>2009</v>
          </cell>
          <cell r="K2">
            <v>2010</v>
          </cell>
          <cell r="L2">
            <v>2011</v>
          </cell>
          <cell r="M2">
            <v>2012</v>
          </cell>
          <cell r="N2">
            <v>2013</v>
          </cell>
          <cell r="O2">
            <v>2014</v>
          </cell>
          <cell r="P2">
            <v>2015</v>
          </cell>
          <cell r="Q2">
            <v>2016</v>
          </cell>
          <cell r="R2">
            <v>2017</v>
          </cell>
          <cell r="S2">
            <v>2018</v>
          </cell>
          <cell r="T2">
            <v>2019</v>
          </cell>
          <cell r="U2">
            <v>2020</v>
          </cell>
          <cell r="V2">
            <v>2021</v>
          </cell>
          <cell r="W2">
            <v>2022</v>
          </cell>
          <cell r="X2">
            <v>2023</v>
          </cell>
        </row>
        <row r="3">
          <cell r="A3" t="str">
            <v>Core Crown Health expenses</v>
          </cell>
          <cell r="H3">
            <v>10.355</v>
          </cell>
          <cell r="I3">
            <v>11.297000000000001</v>
          </cell>
          <cell r="J3">
            <v>12.368</v>
          </cell>
          <cell r="K3">
            <v>13.128</v>
          </cell>
          <cell r="L3">
            <v>13.753</v>
          </cell>
          <cell r="M3">
            <v>14.16</v>
          </cell>
          <cell r="N3">
            <v>14.497999999999999</v>
          </cell>
          <cell r="O3">
            <v>14.898</v>
          </cell>
          <cell r="P3">
            <v>15.058</v>
          </cell>
          <cell r="Q3">
            <v>15.625999999999999</v>
          </cell>
          <cell r="R3">
            <v>16.222999999999999</v>
          </cell>
          <cell r="S3">
            <v>17.158999999999999</v>
          </cell>
          <cell r="T3">
            <v>18.277000000000001</v>
          </cell>
          <cell r="U3">
            <v>19.198</v>
          </cell>
        </row>
        <row r="4">
          <cell r="A4" t="str">
            <v>Core Crown total expenses</v>
          </cell>
          <cell r="H4">
            <v>53.764000000000003</v>
          </cell>
          <cell r="I4">
            <v>56.753</v>
          </cell>
          <cell r="J4">
            <v>63.710999999999999</v>
          </cell>
          <cell r="K4">
            <v>63.554000000000002</v>
          </cell>
          <cell r="L4">
            <v>70.099000000000004</v>
          </cell>
          <cell r="M4">
            <v>68.938999999999993</v>
          </cell>
          <cell r="N4">
            <v>69.962000000000003</v>
          </cell>
          <cell r="O4">
            <v>71.174000000000007</v>
          </cell>
          <cell r="P4">
            <v>72.363</v>
          </cell>
          <cell r="Q4">
            <v>73.929000000000002</v>
          </cell>
          <cell r="R4">
            <v>76.338999999999999</v>
          </cell>
          <cell r="S4">
            <v>80.575999999999993</v>
          </cell>
          <cell r="T4">
            <v>87.3</v>
          </cell>
          <cell r="U4">
            <v>93.262</v>
          </cell>
        </row>
        <row r="5">
          <cell r="A5" t="str">
            <v>GDP (Nominal)</v>
          </cell>
          <cell r="H5">
            <v>175.71</v>
          </cell>
          <cell r="I5">
            <v>189.05099999999999</v>
          </cell>
          <cell r="J5">
            <v>189.554</v>
          </cell>
          <cell r="K5">
            <v>196.733</v>
          </cell>
          <cell r="L5">
            <v>205.82900000000001</v>
          </cell>
          <cell r="M5">
            <v>215.12100000000001</v>
          </cell>
          <cell r="N5">
            <v>218.756</v>
          </cell>
          <cell r="O5">
            <v>236.72200000000001</v>
          </cell>
          <cell r="P5">
            <v>244.79400000000001</v>
          </cell>
          <cell r="Q5">
            <v>257.15699999999998</v>
          </cell>
          <cell r="R5">
            <v>273.36599999999999</v>
          </cell>
          <cell r="S5">
            <v>288.72199999999998</v>
          </cell>
          <cell r="T5">
            <v>299.71300000000002</v>
          </cell>
          <cell r="U5">
            <v>316.95699999999999</v>
          </cell>
        </row>
        <row r="6">
          <cell r="I6">
            <v>0.3001994170885105</v>
          </cell>
          <cell r="J6">
            <v>0.33611002669424017</v>
          </cell>
          <cell r="K6">
            <v>0.32304697229239632</v>
          </cell>
          <cell r="L6">
            <v>0.34056911319590533</v>
          </cell>
          <cell r="M6">
            <v>0.32046615625624641</v>
          </cell>
          <cell r="N6">
            <v>0.31981751357677046</v>
          </cell>
          <cell r="O6">
            <v>0.30066491496354375</v>
          </cell>
          <cell r="P6">
            <v>0.29560773548371283</v>
          </cell>
          <cell r="Q6">
            <v>0.28748585494464474</v>
          </cell>
          <cell r="R6">
            <v>0.27925564993452001</v>
          </cell>
          <cell r="S6">
            <v>0.27907814437417305</v>
          </cell>
          <cell r="T6">
            <v>0.2912786565814629</v>
          </cell>
          <cell r="U6">
            <v>0.29424180567080077</v>
          </cell>
          <cell r="V6">
            <v>0.2960728603121473</v>
          </cell>
          <cell r="W6">
            <v>0.29035721424288286</v>
          </cell>
          <cell r="X6">
            <v>0.2884403439470985</v>
          </cell>
        </row>
        <row r="7">
          <cell r="A7" t="str">
            <v>Health as % Crown</v>
          </cell>
          <cell r="H7">
            <v>0.19260099694963173</v>
          </cell>
          <cell r="I7">
            <v>0.19905555653445633</v>
          </cell>
          <cell r="J7">
            <v>0.19412660294140729</v>
          </cell>
          <cell r="K7">
            <v>0.20656449633382634</v>
          </cell>
          <cell r="L7">
            <v>0.19619395426468281</v>
          </cell>
          <cell r="M7">
            <v>0.20539897590623596</v>
          </cell>
          <cell r="N7">
            <v>0.20722678025213687</v>
          </cell>
          <cell r="O7">
            <v>0.20931800938544973</v>
          </cell>
          <cell r="P7">
            <v>0.20808976963365255</v>
          </cell>
          <cell r="Q7">
            <v>0.21136495827077328</v>
          </cell>
          <cell r="R7">
            <v>0.21251260823432322</v>
          </cell>
          <cell r="S7">
            <v>0.21295422954725973</v>
          </cell>
        </row>
        <row r="8">
          <cell r="A8" t="str">
            <v>Health as % GDP</v>
          </cell>
          <cell r="H8">
            <v>5.8932331682886571E-2</v>
          </cell>
          <cell r="I8">
            <v>5.9756362039872848E-2</v>
          </cell>
          <cell r="J8">
            <v>6.5247897696698573E-2</v>
          </cell>
          <cell r="K8">
            <v>6.6730035123746395E-2</v>
          </cell>
          <cell r="L8">
            <v>6.6817601018321029E-2</v>
          </cell>
          <cell r="M8">
            <v>6.5823420307640809E-2</v>
          </cell>
          <cell r="N8">
            <v>6.6274753606758205E-2</v>
          </cell>
          <cell r="O8">
            <v>6.2934581492214495E-2</v>
          </cell>
          <cell r="P8">
            <v>6.15129455787315E-2</v>
          </cell>
          <cell r="Q8">
            <v>6.0764435733812419E-2</v>
          </cell>
          <cell r="R8">
            <v>5.9345346531755959E-2</v>
          </cell>
          <cell r="S8">
            <v>5.9430871218680945E-2</v>
          </cell>
        </row>
        <row r="11">
          <cell r="K11">
            <v>2010</v>
          </cell>
          <cell r="L11">
            <v>2011</v>
          </cell>
          <cell r="M11">
            <v>2012</v>
          </cell>
          <cell r="N11">
            <v>2013</v>
          </cell>
          <cell r="O11">
            <v>2014</v>
          </cell>
          <cell r="P11">
            <v>2015</v>
          </cell>
          <cell r="Q11">
            <v>2016</v>
          </cell>
          <cell r="R11">
            <v>2017</v>
          </cell>
          <cell r="S11">
            <v>2018</v>
          </cell>
          <cell r="T11">
            <v>2019</v>
          </cell>
          <cell r="U11">
            <v>2020</v>
          </cell>
        </row>
        <row r="12">
          <cell r="A12" t="str">
            <v>Vote Health expenses</v>
          </cell>
        </row>
        <row r="14">
          <cell r="I14">
            <v>5.6981110917159919E-2</v>
          </cell>
          <cell r="J14">
            <v>6.1300911613577133E-2</v>
          </cell>
          <cell r="K14">
            <v>6.2768137526495293E-2</v>
          </cell>
          <cell r="L14">
            <v>6.2182442707295858E-2</v>
          </cell>
          <cell r="M14">
            <v>6.1680584415282562E-2</v>
          </cell>
          <cell r="N14">
            <v>6.2279663186381173E-2</v>
          </cell>
          <cell r="O14">
            <v>5.9354035535353705E-2</v>
          </cell>
          <cell r="P14">
            <v>5.8598625783311681E-2</v>
          </cell>
          <cell r="Q14">
            <v>5.7523489541408554E-2</v>
          </cell>
          <cell r="R14">
            <v>5.5878679133469417E-2</v>
          </cell>
          <cell r="S14">
            <v>5.6027119512887837E-2</v>
          </cell>
          <cell r="T14">
            <v>5.7326121990037136E-2</v>
          </cell>
          <cell r="U14">
            <v>5.7286262805364765E-2</v>
          </cell>
          <cell r="V14">
            <v>5.4200033532030574E-2</v>
          </cell>
          <cell r="W14">
            <v>5.2095060106793073E-2</v>
          </cell>
          <cell r="X14">
            <v>4.9871996464503181E-2</v>
          </cell>
        </row>
        <row r="15">
          <cell r="L15">
            <v>0.12055297894100114</v>
          </cell>
          <cell r="M15">
            <v>0.23395551283719485</v>
          </cell>
          <cell r="N15">
            <v>0.10685669274600329</v>
          </cell>
          <cell r="O15">
            <v>0.80819305154701837</v>
          </cell>
          <cell r="P15">
            <v>1.0206714576608888</v>
          </cell>
          <cell r="Q15">
            <v>1.3486979419009515</v>
          </cell>
          <cell r="R15">
            <v>1.8833436830679116</v>
          </cell>
          <cell r="S15">
            <v>1.9462802029247719</v>
          </cell>
          <cell r="T15">
            <v>1.6310428024784827</v>
          </cell>
          <cell r="U15">
            <v>1.7375185659853685</v>
          </cell>
        </row>
        <row r="20">
          <cell r="J20">
            <v>2009</v>
          </cell>
          <cell r="K20">
            <v>2010</v>
          </cell>
          <cell r="L20">
            <v>2011</v>
          </cell>
          <cell r="M20">
            <v>2012</v>
          </cell>
          <cell r="N20">
            <v>2013</v>
          </cell>
          <cell r="O20">
            <v>2014</v>
          </cell>
          <cell r="P20">
            <v>2015</v>
          </cell>
          <cell r="Q20">
            <v>2016</v>
          </cell>
          <cell r="R20">
            <v>2017</v>
          </cell>
          <cell r="S20">
            <v>2018</v>
          </cell>
          <cell r="T20">
            <v>2019</v>
          </cell>
          <cell r="U20">
            <v>2020</v>
          </cell>
          <cell r="AB20">
            <v>2010</v>
          </cell>
          <cell r="AC20">
            <v>2011</v>
          </cell>
          <cell r="AD20">
            <v>2012</v>
          </cell>
          <cell r="AE20">
            <v>2013</v>
          </cell>
          <cell r="AF20">
            <v>2014</v>
          </cell>
          <cell r="AG20">
            <v>2015</v>
          </cell>
          <cell r="AH20">
            <v>2016</v>
          </cell>
          <cell r="AI20">
            <v>2017</v>
          </cell>
          <cell r="AJ20">
            <v>2018</v>
          </cell>
          <cell r="AK20">
            <v>2019</v>
          </cell>
          <cell r="AL20">
            <v>2020</v>
          </cell>
        </row>
        <row r="21">
          <cell r="A21" t="str">
            <v>Vote Health expenses</v>
          </cell>
          <cell r="J21">
            <v>7.8673465068300974E-2</v>
          </cell>
          <cell r="K21">
            <v>6.2714412504895733E-2</v>
          </cell>
          <cell r="L21">
            <v>3.6472742903547406E-2</v>
          </cell>
          <cell r="M21">
            <v>3.6709183175182458E-2</v>
          </cell>
          <cell r="N21">
            <v>2.677418413993915E-2</v>
          </cell>
          <cell r="O21">
            <v>3.1294365478693908E-2</v>
          </cell>
          <cell r="P21">
            <v>2.0937900299820456E-2</v>
          </cell>
          <cell r="Q21">
            <v>3.1229609040117623E-2</v>
          </cell>
          <cell r="R21">
            <v>3.2635509939856311E-2</v>
          </cell>
          <cell r="S21">
            <v>5.8979474814653932E-2</v>
          </cell>
          <cell r="T21">
            <v>6.2135615755976259E-2</v>
          </cell>
          <cell r="U21">
            <v>5.6799731616498317E-2</v>
          </cell>
          <cell r="Z21" t="str">
            <v>Vote Health expenses</v>
          </cell>
          <cell r="AB21">
            <v>7.7239813856639694E-2</v>
          </cell>
          <cell r="AC21">
            <v>5.8335384000101742E-2</v>
          </cell>
          <cell r="AD21">
            <v>4.4848381364040124E-2</v>
          </cell>
          <cell r="AE21">
            <v>3.3201685232439049E-2</v>
          </cell>
          <cell r="AF21">
            <v>3.1529342252625714E-2</v>
          </cell>
          <cell r="AG21">
            <v>2.6275469860779221E-2</v>
          </cell>
          <cell r="AH21">
            <v>2.7809244988130422E-2</v>
          </cell>
          <cell r="AI21">
            <v>2.8362908898362127E-2</v>
          </cell>
          <cell r="AJ21">
            <v>4.1242226201633203E-2</v>
          </cell>
          <cell r="AK21">
            <v>5.1656597251272363E-2</v>
          </cell>
          <cell r="AL21">
            <v>5.9259193612597461E-2</v>
          </cell>
        </row>
        <row r="22">
          <cell r="A22" t="str">
            <v>Core Crown Health expenses</v>
          </cell>
          <cell r="J22">
            <v>9.4803930246968093E-2</v>
          </cell>
          <cell r="K22">
            <v>6.1448900388098249E-2</v>
          </cell>
          <cell r="L22">
            <v>4.760816575258997E-2</v>
          </cell>
          <cell r="M22">
            <v>2.9593543226932306E-2</v>
          </cell>
          <cell r="N22">
            <v>2.3870056497174996E-2</v>
          </cell>
          <cell r="O22">
            <v>2.7590012415505516E-2</v>
          </cell>
          <cell r="P22">
            <v>1.0739696603570881E-2</v>
          </cell>
          <cell r="Q22">
            <v>3.7720812856953057E-2</v>
          </cell>
          <cell r="R22">
            <v>3.8205554844489953E-2</v>
          </cell>
          <cell r="S22">
            <v>5.7695863896936483E-2</v>
          </cell>
          <cell r="T22">
            <v>6.5155312081123684E-2</v>
          </cell>
          <cell r="U22">
            <v>5.0391202057230355E-2</v>
          </cell>
          <cell r="Z22" t="str">
            <v>Core Crown Health expenses</v>
          </cell>
          <cell r="AB22">
            <v>8.151087595532025E-2</v>
          </cell>
          <cell r="AC22">
            <v>6.6751827793330332E-2</v>
          </cell>
          <cell r="AD22">
            <v>4.5657214196539897E-2</v>
          </cell>
          <cell r="AE22">
            <v>3.3381252893448066E-2</v>
          </cell>
          <cell r="AF22">
            <v>2.6997712857513401E-2</v>
          </cell>
          <cell r="AG22">
            <v>2.0617136559831106E-2</v>
          </cell>
          <cell r="AH22">
            <v>2.5374544472938299E-2</v>
          </cell>
          <cell r="AI22">
            <v>2.906849194857597E-2</v>
          </cell>
          <cell r="AJ22">
            <v>4.4790756177116364E-2</v>
          </cell>
          <cell r="AK22">
            <v>5.4093209271955489E-2</v>
          </cell>
          <cell r="AL22">
            <v>5.7589190654097067E-2</v>
          </cell>
        </row>
        <row r="24">
          <cell r="A24" t="str">
            <v>GDP (Nominal)</v>
          </cell>
          <cell r="J24">
            <v>2.6606577061216719E-3</v>
          </cell>
          <cell r="K24">
            <v>3.787311267501603E-2</v>
          </cell>
          <cell r="L24">
            <v>4.6235252855392872E-2</v>
          </cell>
          <cell r="M24">
            <v>4.5144270243746121E-2</v>
          </cell>
          <cell r="N24">
            <v>1.689746700694017E-2</v>
          </cell>
          <cell r="O24">
            <v>8.2128033059664762E-2</v>
          </cell>
          <cell r="P24">
            <v>3.4099069794949255E-2</v>
          </cell>
          <cell r="Q24">
            <v>5.0503688815902281E-2</v>
          </cell>
          <cell r="R24">
            <v>6.3031533265670348E-2</v>
          </cell>
          <cell r="S24">
            <v>5.6173774353796668E-2</v>
          </cell>
          <cell r="T24">
            <v>3.80677606832871E-2</v>
          </cell>
          <cell r="U24">
            <v>5.7535041856709546E-2</v>
          </cell>
          <cell r="Z24" t="str">
            <v>GDP (Nominal)</v>
          </cell>
          <cell r="AB24">
            <v>3.792608895664018E-2</v>
          </cell>
          <cell r="AC24">
            <v>2.9161988257337512E-2</v>
          </cell>
          <cell r="AD24">
            <v>4.3179039242310591E-2</v>
          </cell>
          <cell r="AE24">
            <v>3.5654210978770751E-2</v>
          </cell>
          <cell r="AF24">
            <v>4.829249686574788E-2</v>
          </cell>
          <cell r="AG24">
            <v>4.4248500221443665E-2</v>
          </cell>
          <cell r="AH24">
            <v>5.483726323485727E-2</v>
          </cell>
          <cell r="AI24">
            <v>4.960787791079424E-2</v>
          </cell>
          <cell r="AJ24">
            <v>5.6658115325731062E-2</v>
          </cell>
          <cell r="AK24">
            <v>5.1945388742073551E-2</v>
          </cell>
          <cell r="AL24">
            <v>5.0581282685910001E-2</v>
          </cell>
        </row>
      </sheetData>
      <sheetData sheetId="2"/>
      <sheetData sheetId="3">
        <row r="56">
          <cell r="C56" t="str">
            <v>2015/16</v>
          </cell>
          <cell r="N56">
            <v>4608397.5</v>
          </cell>
          <cell r="O56">
            <v>4638750</v>
          </cell>
        </row>
        <row r="57">
          <cell r="C57" t="str">
            <v>2016/17</v>
          </cell>
          <cell r="N57">
            <v>4660727.5</v>
          </cell>
          <cell r="O57">
            <v>4715555</v>
          </cell>
        </row>
      </sheetData>
      <sheetData sheetId="4">
        <row r="2">
          <cell r="G2" t="str">
            <v>Hospitals</v>
          </cell>
          <cell r="I2" t="str">
            <v>Medical and Other Health Care Services</v>
          </cell>
          <cell r="K2" t="str">
            <v>Residential Care Services and Social Assistance</v>
          </cell>
          <cell r="AF2" t="str">
            <v>Total Both Sexes</v>
          </cell>
          <cell r="AG2" t="str">
            <v>Annual increase</v>
          </cell>
          <cell r="AH2" t="str">
            <v>Quarterly increase</v>
          </cell>
          <cell r="BQ2" t="str">
            <v>Health Care and Social Assistance</v>
          </cell>
          <cell r="BR2" t="str">
            <v>Public Administration and Safety</v>
          </cell>
          <cell r="BS2" t="str">
            <v>Total All Industries</v>
          </cell>
          <cell r="DE2" t="str">
            <v>Health</v>
          </cell>
          <cell r="DF2" t="str">
            <v>All industries</v>
          </cell>
          <cell r="DG2" t="str">
            <v>Health - public sector</v>
          </cell>
          <cell r="ED2" t="str">
            <v>Labour Cost Index, New Zealand</v>
          </cell>
          <cell r="EE2" t="str">
            <v>Labour Cost Index, New Zealand</v>
          </cell>
          <cell r="EF2" t="str">
            <v xml:space="preserve">Wage Price Index, Australia </v>
          </cell>
          <cell r="EG2" t="str">
            <v xml:space="preserve">Wage Price Index, Australia </v>
          </cell>
          <cell r="EX2" t="str">
            <v>Total All Industries</v>
          </cell>
          <cell r="EY2" t="str">
            <v>Health Care and Social Assistance</v>
          </cell>
        </row>
        <row r="3">
          <cell r="BP3">
            <v>39142</v>
          </cell>
          <cell r="BQ3">
            <v>29.715763723007651</v>
          </cell>
          <cell r="BR3">
            <v>33.17803627749052</v>
          </cell>
          <cell r="BS3">
            <v>28.271074455669478</v>
          </cell>
          <cell r="DN3" t="str">
            <v>Health Care and Social Assistance</v>
          </cell>
          <cell r="DO3" t="str">
            <v>All industries</v>
          </cell>
          <cell r="ED3" t="str">
            <v>Public and Private Sectors</v>
          </cell>
          <cell r="EE3" t="str">
            <v>Public Sector only</v>
          </cell>
          <cell r="EF3" t="str">
            <v>Public and Private Sectors</v>
          </cell>
          <cell r="EG3" t="str">
            <v>Public Sector only</v>
          </cell>
        </row>
        <row r="4">
          <cell r="BP4">
            <v>39234</v>
          </cell>
          <cell r="BQ4">
            <v>29.671075053761992</v>
          </cell>
          <cell r="BR4">
            <v>33.5433599942779</v>
          </cell>
          <cell r="BS4">
            <v>28.228217289302247</v>
          </cell>
          <cell r="EC4">
            <v>39965</v>
          </cell>
          <cell r="ED4">
            <v>1000</v>
          </cell>
          <cell r="EE4">
            <v>1000</v>
          </cell>
          <cell r="EF4">
            <v>1000</v>
          </cell>
          <cell r="EG4">
            <v>1000</v>
          </cell>
        </row>
        <row r="5">
          <cell r="BP5">
            <v>39326</v>
          </cell>
          <cell r="BQ5">
            <v>29.894496946734915</v>
          </cell>
          <cell r="BR5">
            <v>34.054691718879056</v>
          </cell>
          <cell r="BS5">
            <v>28.458677512101097</v>
          </cell>
          <cell r="EC5">
            <v>40057</v>
          </cell>
          <cell r="ED5">
            <v>993.13790020684678</v>
          </cell>
          <cell r="EE5">
            <v>994.12511481937838</v>
          </cell>
          <cell r="EF5">
            <v>1006.0791844086058</v>
          </cell>
          <cell r="EG5">
            <v>1013.869799219949</v>
          </cell>
        </row>
        <row r="6">
          <cell r="BP6">
            <v>39417</v>
          </cell>
          <cell r="BQ6">
            <v>30.082280406721441</v>
          </cell>
          <cell r="BR6">
            <v>34.65527222661418</v>
          </cell>
          <cell r="BS6">
            <v>28.384087157954909</v>
          </cell>
          <cell r="EC6">
            <v>40148</v>
          </cell>
          <cell r="ED6">
            <v>999.90027472708266</v>
          </cell>
          <cell r="EE6">
            <v>1002.8673378568367</v>
          </cell>
          <cell r="EF6">
            <v>1010.4890740560097</v>
          </cell>
          <cell r="EG6">
            <v>1019.1916537818541</v>
          </cell>
        </row>
        <row r="7">
          <cell r="A7">
            <v>39508</v>
          </cell>
          <cell r="D7">
            <v>4.5681063047573911E-2</v>
          </cell>
          <cell r="H7">
            <v>4.9342105263157965E-2</v>
          </cell>
          <cell r="J7">
            <v>4.2643923240938131E-2</v>
          </cell>
          <cell r="L7">
            <v>3.950338600451464E-2</v>
          </cell>
          <cell r="S7">
            <v>3.3663365978484627E-2</v>
          </cell>
          <cell r="Z7">
            <v>-4.9751247598475157E-3</v>
          </cell>
          <cell r="BP7">
            <v>39508</v>
          </cell>
          <cell r="BQ7">
            <v>30.555302079794505</v>
          </cell>
          <cell r="BR7">
            <v>34.700027598504796</v>
          </cell>
          <cell r="BS7">
            <v>28.615474148072533</v>
          </cell>
          <cell r="EC7">
            <v>40238</v>
          </cell>
          <cell r="ED7">
            <v>1000.1959890248836</v>
          </cell>
          <cell r="EE7">
            <v>1002.1668185599081</v>
          </cell>
          <cell r="EF7">
            <v>1008.6579142042575</v>
          </cell>
          <cell r="EG7">
            <v>1013.4097074170244</v>
          </cell>
        </row>
        <row r="8">
          <cell r="A8">
            <v>39600</v>
          </cell>
          <cell r="D8">
            <v>5.414274031034183E-2</v>
          </cell>
          <cell r="H8">
            <v>6.5430752453653263E-2</v>
          </cell>
          <cell r="J8">
            <v>3.5490605427974886E-2</v>
          </cell>
          <cell r="L8">
            <v>5.7777777777777706E-2</v>
          </cell>
          <cell r="S8">
            <v>4.0196078314711725E-2</v>
          </cell>
          <cell r="Z8">
            <v>-1.3671876047019915E-2</v>
          </cell>
          <cell r="BP8">
            <v>39600</v>
          </cell>
          <cell r="BQ8">
            <v>30.350259753174633</v>
          </cell>
          <cell r="BR8">
            <v>34.179608932969714</v>
          </cell>
          <cell r="BS8">
            <v>28.57192422076206</v>
          </cell>
          <cell r="DB8">
            <v>37408</v>
          </cell>
          <cell r="DE8">
            <v>2.6000000000000023E-2</v>
          </cell>
          <cell r="DF8">
            <v>2.0999999999999908E-2</v>
          </cell>
          <cell r="EC8">
            <v>40330</v>
          </cell>
          <cell r="ED8">
            <v>1001.3266609787479</v>
          </cell>
          <cell r="EE8">
            <v>1001.326660978748</v>
          </cell>
          <cell r="EF8">
            <v>1008.0957071379752</v>
          </cell>
          <cell r="EG8">
            <v>1011.8490933109658</v>
          </cell>
        </row>
        <row r="9">
          <cell r="A9">
            <v>39692</v>
          </cell>
          <cell r="D9">
            <v>5.8775509977823992E-2</v>
          </cell>
          <cell r="H9">
            <v>6.7245119305856749E-2</v>
          </cell>
          <cell r="J9">
            <v>4.2708333333333348E-2</v>
          </cell>
          <cell r="L9">
            <v>6.9613259668508398E-2</v>
          </cell>
          <cell r="S9">
            <v>5.073170777917535E-2</v>
          </cell>
          <cell r="Z9">
            <v>3.2258064346123883E-2</v>
          </cell>
          <cell r="BP9">
            <v>39692</v>
          </cell>
          <cell r="BQ9">
            <v>30.471666515050195</v>
          </cell>
          <cell r="BR9">
            <v>34.068934926945737</v>
          </cell>
          <cell r="BS9">
            <v>28.591276208832074</v>
          </cell>
          <cell r="DB9">
            <v>37500</v>
          </cell>
          <cell r="DE9">
            <v>2.6812313803376453E-2</v>
          </cell>
          <cell r="DF9">
            <v>2.1868787276341894E-2</v>
          </cell>
          <cell r="EC9">
            <v>40422</v>
          </cell>
          <cell r="ED9">
            <v>993.43024364291375</v>
          </cell>
          <cell r="EE9">
            <v>993.43024364291375</v>
          </cell>
          <cell r="EF9">
            <v>1014.1141741363142</v>
          </cell>
          <cell r="EG9">
            <v>1016.8636737950685</v>
          </cell>
        </row>
        <row r="10">
          <cell r="A10">
            <v>39783</v>
          </cell>
          <cell r="D10">
            <v>4.8426149928181506E-2</v>
          </cell>
          <cell r="H10">
            <v>5.2350427350427386E-2</v>
          </cell>
          <cell r="J10">
            <v>3.8223140495867725E-2</v>
          </cell>
          <cell r="L10">
            <v>5.9145673603504978E-2</v>
          </cell>
          <cell r="S10">
            <v>3.3751204221356579E-2</v>
          </cell>
          <cell r="Z10">
            <v>3.4136546203184182E-2</v>
          </cell>
          <cell r="BP10">
            <v>39783</v>
          </cell>
          <cell r="BQ10">
            <v>31.106616397891369</v>
          </cell>
          <cell r="BR10">
            <v>34.368645578809435</v>
          </cell>
          <cell r="BS10">
            <v>28.9945111728365</v>
          </cell>
          <cell r="DB10">
            <v>37591</v>
          </cell>
          <cell r="DE10">
            <v>2.5590551181102317E-2</v>
          </cell>
          <cell r="DF10">
            <v>2.1760633036597365E-2</v>
          </cell>
          <cell r="EC10">
            <v>40513</v>
          </cell>
          <cell r="ED10">
            <v>974.51627129462383</v>
          </cell>
          <cell r="EE10">
            <v>972.61477613112208</v>
          </cell>
          <cell r="EF10">
            <v>1018.4625466616445</v>
          </cell>
          <cell r="EG10">
            <v>1022.130263234301</v>
          </cell>
          <cell r="EV10">
            <v>33208</v>
          </cell>
          <cell r="EW10">
            <v>14.526838555171731</v>
          </cell>
          <cell r="EX10">
            <v>14.095776979443075</v>
          </cell>
          <cell r="EY10">
            <v>5.3515081735632464E-2</v>
          </cell>
          <cell r="EZ10">
            <v>6.3676316096936469E-2</v>
          </cell>
        </row>
        <row r="11">
          <cell r="A11">
            <v>39873</v>
          </cell>
          <cell r="D11">
            <v>3.8125496289575178E-2</v>
          </cell>
          <cell r="H11">
            <v>3.3437826541274918E-2</v>
          </cell>
          <cell r="J11">
            <v>3.7832310838445737E-2</v>
          </cell>
          <cell r="L11">
            <v>5.4288816503800241E-2</v>
          </cell>
          <cell r="S11">
            <v>2.9693487493282156E-2</v>
          </cell>
          <cell r="Z11">
            <v>3.8000000316293914E-2</v>
          </cell>
          <cell r="BP11">
            <v>39873</v>
          </cell>
          <cell r="BQ11">
            <v>31.195324783691373</v>
          </cell>
          <cell r="BR11">
            <v>34.963102195675098</v>
          </cell>
          <cell r="BS11">
            <v>29.288033733525701</v>
          </cell>
          <cell r="DB11">
            <v>37681</v>
          </cell>
          <cell r="DE11">
            <v>2.6418786692759211E-2</v>
          </cell>
          <cell r="DF11">
            <v>2.2637795275590511E-2</v>
          </cell>
          <cell r="EC11">
            <v>40603</v>
          </cell>
          <cell r="ED11">
            <v>974.4092501432566</v>
          </cell>
          <cell r="EE11">
            <v>976.29581209900357</v>
          </cell>
          <cell r="EF11">
            <v>1009.566185992737</v>
          </cell>
          <cell r="EG11">
            <v>1012.2376551423561</v>
          </cell>
          <cell r="EV11">
            <v>33298</v>
          </cell>
          <cell r="EW11">
            <v>14.741212395192726</v>
          </cell>
          <cell r="EX11">
            <v>14.244440056895998</v>
          </cell>
          <cell r="EY11">
            <v>5.6956272711798483E-2</v>
          </cell>
          <cell r="EZ11">
            <v>5.8485970024060974E-2</v>
          </cell>
        </row>
        <row r="12">
          <cell r="A12">
            <v>39965</v>
          </cell>
          <cell r="D12">
            <v>2.6459143701085042E-2</v>
          </cell>
          <cell r="H12">
            <v>1.7400204708290623E-2</v>
          </cell>
          <cell r="J12">
            <v>3.4274193548387011E-2</v>
          </cell>
          <cell r="L12">
            <v>3.8865546218487479E-2</v>
          </cell>
          <cell r="S12">
            <v>1.8850141718031344E-2</v>
          </cell>
          <cell r="Z12">
            <v>3.663366362258591E-2</v>
          </cell>
          <cell r="BP12">
            <v>39965</v>
          </cell>
          <cell r="BQ12">
            <v>31.313083391915473</v>
          </cell>
          <cell r="BR12">
            <v>34.95522203987889</v>
          </cell>
          <cell r="BS12">
            <v>29.334925020817135</v>
          </cell>
          <cell r="DB12">
            <v>37773</v>
          </cell>
          <cell r="DE12">
            <v>2.7290448343080032E-2</v>
          </cell>
          <cell r="DF12">
            <v>2.2526934378060748E-2</v>
          </cell>
          <cell r="EC12">
            <v>40695</v>
          </cell>
          <cell r="ED12">
            <v>966.07951608811504</v>
          </cell>
          <cell r="EE12">
            <v>967.01382896634334</v>
          </cell>
          <cell r="EF12">
            <v>1008.743538814971</v>
          </cell>
          <cell r="EG12">
            <v>1013.2232589243067</v>
          </cell>
          <cell r="EV12">
            <v>33390</v>
          </cell>
          <cell r="EW12">
            <v>14.82956069822575</v>
          </cell>
          <cell r="EX12">
            <v>14.372078005311071</v>
          </cell>
          <cell r="EY12">
            <v>4.9239806694213684E-2</v>
          </cell>
          <cell r="EZ12">
            <v>5.1393321578494078E-2</v>
          </cell>
        </row>
        <row r="13">
          <cell r="A13">
            <v>40057</v>
          </cell>
          <cell r="D13">
            <v>2.390131071469237E-2</v>
          </cell>
          <cell r="H13">
            <v>1.5243902439024293E-2</v>
          </cell>
          <cell r="J13">
            <v>2.7972027972027913E-2</v>
          </cell>
          <cell r="L13">
            <v>3.9256198347107363E-2</v>
          </cell>
          <cell r="S13">
            <v>1.6713091541499692E-2</v>
          </cell>
          <cell r="Z13">
            <v>3.7109374012809671E-2</v>
          </cell>
          <cell r="BP13">
            <v>40057</v>
          </cell>
          <cell r="BQ13">
            <v>30.660009542646581</v>
          </cell>
          <cell r="BR13">
            <v>34.979291516432681</v>
          </cell>
          <cell r="BS13">
            <v>29.212590583345914</v>
          </cell>
          <cell r="DB13">
            <v>37865</v>
          </cell>
          <cell r="DE13">
            <v>2.9013539651837617E-2</v>
          </cell>
          <cell r="DF13">
            <v>2.3346303501945442E-2</v>
          </cell>
          <cell r="EC13">
            <v>40787</v>
          </cell>
          <cell r="ED13">
            <v>966.57401086098412</v>
          </cell>
          <cell r="EE13">
            <v>966.57401086098412</v>
          </cell>
          <cell r="EF13">
            <v>1011.8862849338641</v>
          </cell>
          <cell r="EG13">
            <v>1013.5641470502703</v>
          </cell>
          <cell r="EV13">
            <v>33482</v>
          </cell>
          <cell r="EW13">
            <v>14.985290166577109</v>
          </cell>
          <cell r="EX13">
            <v>14.49009046565129</v>
          </cell>
          <cell r="EY13">
            <v>4.6536289280806553E-2</v>
          </cell>
          <cell r="EZ13">
            <v>4.3858921846183341E-2</v>
          </cell>
        </row>
        <row r="14">
          <cell r="A14">
            <v>40148</v>
          </cell>
          <cell r="D14">
            <v>1.2317167342480007E-2</v>
          </cell>
          <cell r="H14">
            <v>7.1065989847716171E-3</v>
          </cell>
          <cell r="J14">
            <v>1.1940298507462588E-2</v>
          </cell>
          <cell r="L14">
            <v>2.4819027921406445E-2</v>
          </cell>
          <cell r="S14">
            <v>1.9589552949323963E-2</v>
          </cell>
          <cell r="Z14">
            <v>3.6893204201344121E-2</v>
          </cell>
          <cell r="BP14">
            <v>40148</v>
          </cell>
          <cell r="BQ14">
            <v>31.280027150213062</v>
          </cell>
          <cell r="BR14">
            <v>35.423077103883671</v>
          </cell>
          <cell r="BS14">
            <v>29.220010645471291</v>
          </cell>
          <cell r="DB14">
            <v>37956</v>
          </cell>
          <cell r="DE14">
            <v>2.5911708253358867E-2</v>
          </cell>
          <cell r="DF14">
            <v>2.4201355275895509E-2</v>
          </cell>
          <cell r="EC14">
            <v>40878</v>
          </cell>
          <cell r="ED14">
            <v>973.6468056417001</v>
          </cell>
          <cell r="EE14">
            <v>970.84628750466743</v>
          </cell>
          <cell r="EF14">
            <v>1018.3314205066911</v>
          </cell>
          <cell r="EG14">
            <v>1021.8343894106082</v>
          </cell>
          <cell r="EV14">
            <v>33573</v>
          </cell>
          <cell r="EW14">
            <v>15.061965453630723</v>
          </cell>
          <cell r="EX14">
            <v>14.592009233534077</v>
          </cell>
          <cell r="EY14">
            <v>3.683712023277641E-2</v>
          </cell>
          <cell r="EZ14">
            <v>3.5204320756116791E-2</v>
          </cell>
        </row>
        <row r="15">
          <cell r="A15">
            <v>40238</v>
          </cell>
          <cell r="D15">
            <v>9.1813312614519305E-3</v>
          </cell>
          <cell r="H15">
            <v>6.0667340748230547E-3</v>
          </cell>
          <cell r="J15">
            <v>2.9556650246305161E-3</v>
          </cell>
          <cell r="L15">
            <v>2.5746652935118464E-2</v>
          </cell>
          <cell r="S15">
            <v>2.0465116184649856E-2</v>
          </cell>
          <cell r="Z15">
            <v>3.8535644654461798E-2</v>
          </cell>
          <cell r="BP15">
            <v>40238</v>
          </cell>
          <cell r="BQ15">
            <v>31.223303067696083</v>
          </cell>
          <cell r="BR15">
            <v>35.030183941172062</v>
          </cell>
          <cell r="BS15">
            <v>29.010266897271791</v>
          </cell>
          <cell r="DB15">
            <v>38047</v>
          </cell>
          <cell r="DE15">
            <v>2.5738798856053346E-2</v>
          </cell>
          <cell r="DF15">
            <v>2.2136669874879722E-2</v>
          </cell>
          <cell r="EC15">
            <v>40969</v>
          </cell>
          <cell r="ED15">
            <v>972.34278339715161</v>
          </cell>
          <cell r="EE15">
            <v>970.48539508120666</v>
          </cell>
          <cell r="EF15">
            <v>1023.7507537210802</v>
          </cell>
          <cell r="EG15">
            <v>1025.4015120747599</v>
          </cell>
          <cell r="EV15">
            <v>33664</v>
          </cell>
          <cell r="EW15">
            <v>15.148698010698061</v>
          </cell>
          <cell r="EX15">
            <v>14.685098590698697</v>
          </cell>
          <cell r="EY15">
            <v>2.7642612058029981E-2</v>
          </cell>
          <cell r="EZ15">
            <v>3.0935476020299335E-2</v>
          </cell>
        </row>
        <row r="16">
          <cell r="A16">
            <v>40330</v>
          </cell>
          <cell r="D16">
            <v>-7.5814969541898591E-4</v>
          </cell>
          <cell r="H16">
            <v>5.0301810865192031E-3</v>
          </cell>
          <cell r="J16">
            <v>-1.6569200779727122E-2</v>
          </cell>
          <cell r="L16">
            <v>7.0778564206268602E-3</v>
          </cell>
          <cell r="S16">
            <v>1.6651248459673029E-2</v>
          </cell>
          <cell r="Z16">
            <v>3.7249284053924026E-2</v>
          </cell>
          <cell r="BP16">
            <v>40330</v>
          </cell>
          <cell r="BQ16">
            <v>30.811666896674605</v>
          </cell>
          <cell r="BR16">
            <v>35.630281964839533</v>
          </cell>
          <cell r="BS16">
            <v>29.174940163307411</v>
          </cell>
          <cell r="DB16">
            <v>38139</v>
          </cell>
          <cell r="DE16">
            <v>2.8462998102466885E-2</v>
          </cell>
          <cell r="DF16">
            <v>2.2988505747126409E-2</v>
          </cell>
          <cell r="EC16">
            <v>41061</v>
          </cell>
          <cell r="ED16">
            <v>975.49143900784361</v>
          </cell>
          <cell r="EE16">
            <v>976.41695270709192</v>
          </cell>
          <cell r="EF16">
            <v>1022.3133184374274</v>
          </cell>
          <cell r="EG16">
            <v>1022.121779417375</v>
          </cell>
          <cell r="EV16">
            <v>33756</v>
          </cell>
          <cell r="EW16">
            <v>15.229517824631468</v>
          </cell>
          <cell r="EX16">
            <v>14.765528428040508</v>
          </cell>
          <cell r="EY16">
            <v>2.6970261260238937E-2</v>
          </cell>
          <cell r="EZ16">
            <v>2.737602889324986E-2</v>
          </cell>
        </row>
        <row r="17">
          <cell r="A17">
            <v>40422</v>
          </cell>
          <cell r="D17">
            <v>-3.0120485121480911E-3</v>
          </cell>
          <cell r="H17">
            <v>5.0050050050050032E-3</v>
          </cell>
          <cell r="J17">
            <v>-1.5549076773566539E-2</v>
          </cell>
          <cell r="L17">
            <v>-3.9761431411531323E-3</v>
          </cell>
          <cell r="S17">
            <v>1.4611872192131115E-2</v>
          </cell>
          <cell r="Z17">
            <v>3.2956685592925083E-2</v>
          </cell>
          <cell r="BP17">
            <v>40422</v>
          </cell>
          <cell r="BQ17">
            <v>30.761918026834859</v>
          </cell>
          <cell r="BR17">
            <v>35.664351043257199</v>
          </cell>
          <cell r="BS17">
            <v>29.154191725837233</v>
          </cell>
          <cell r="DB17">
            <v>38231</v>
          </cell>
          <cell r="DE17">
            <v>2.6315789473684292E-2</v>
          </cell>
          <cell r="DF17">
            <v>2.1863117870722482E-2</v>
          </cell>
          <cell r="EC17">
            <v>41153</v>
          </cell>
          <cell r="ED17">
            <v>975.76174280860596</v>
          </cell>
          <cell r="EE17">
            <v>973.91545758096436</v>
          </cell>
          <cell r="EF17">
            <v>1023.5989576349742</v>
          </cell>
          <cell r="EG17">
            <v>1021.5780317561293</v>
          </cell>
          <cell r="EV17">
            <v>33848</v>
          </cell>
          <cell r="EW17">
            <v>15.260865910752861</v>
          </cell>
          <cell r="EX17">
            <v>14.811789584220769</v>
          </cell>
          <cell r="EY17">
            <v>1.8389750289279805E-2</v>
          </cell>
          <cell r="EZ17">
            <v>2.2201318848358076E-2</v>
          </cell>
        </row>
        <row r="18">
          <cell r="A18">
            <v>40513</v>
          </cell>
          <cell r="D18">
            <v>7.604558536731254E-4</v>
          </cell>
          <cell r="H18">
            <v>8.0645161290322509E-3</v>
          </cell>
          <cell r="J18">
            <v>-1.6715830875122961E-2</v>
          </cell>
          <cell r="L18">
            <v>9.0817356205852295E-3</v>
          </cell>
          <cell r="S18">
            <v>1.9926806790495188E-2</v>
          </cell>
          <cell r="Z18">
            <v>5.1554307786641607E-2</v>
          </cell>
          <cell r="BP18">
            <v>40513</v>
          </cell>
          <cell r="BQ18">
            <v>30.335057098319009</v>
          </cell>
          <cell r="BR18">
            <v>34.804554934832822</v>
          </cell>
          <cell r="BS18">
            <v>28.6092113990711</v>
          </cell>
          <cell r="DB18">
            <v>38322</v>
          </cell>
          <cell r="DE18">
            <v>2.7128157156220745E-2</v>
          </cell>
          <cell r="DF18">
            <v>2.457466918714557E-2</v>
          </cell>
          <cell r="EC18">
            <v>41244</v>
          </cell>
          <cell r="ED18">
            <v>980.20530400929545</v>
          </cell>
          <cell r="EE18">
            <v>977.43113805455221</v>
          </cell>
          <cell r="EF18">
            <v>1030.6006477764204</v>
          </cell>
          <cell r="EG18">
            <v>1033.0613785494456</v>
          </cell>
          <cell r="EV18">
            <v>33939</v>
          </cell>
          <cell r="EW18">
            <v>15.337782375401591</v>
          </cell>
          <cell r="EX18">
            <v>14.845429320589572</v>
          </cell>
          <cell r="EY18">
            <v>1.8312146752692327E-2</v>
          </cell>
          <cell r="EZ18">
            <v>1.736704541504186E-2</v>
          </cell>
        </row>
        <row r="19">
          <cell r="A19">
            <v>40603</v>
          </cell>
          <cell r="D19">
            <v>7.7028054151773162E-3</v>
          </cell>
          <cell r="H19">
            <v>1.306532663316573E-2</v>
          </cell>
          <cell r="J19">
            <v>-6.8762278978389269E-3</v>
          </cell>
          <cell r="L19">
            <v>1.6064257028112428E-2</v>
          </cell>
          <cell r="S19">
            <v>2.4251700447258884E-2</v>
          </cell>
          <cell r="Z19">
            <v>4.998844761528054E-2</v>
          </cell>
          <cell r="BP19">
            <v>40603</v>
          </cell>
          <cell r="BQ19">
            <v>30.612706498290507</v>
          </cell>
          <cell r="BR19">
            <v>34.443410896965077</v>
          </cell>
          <cell r="BS19">
            <v>28.494294037132359</v>
          </cell>
          <cell r="DB19">
            <v>38412</v>
          </cell>
          <cell r="DE19">
            <v>2.7881040892193232E-2</v>
          </cell>
          <cell r="DF19">
            <v>2.5423728813559254E-2</v>
          </cell>
          <cell r="EC19">
            <v>41334</v>
          </cell>
          <cell r="ED19">
            <v>979.71379974447484</v>
          </cell>
          <cell r="EE19">
            <v>976.95144880534565</v>
          </cell>
          <cell r="EF19">
            <v>1031.9589978981207</v>
          </cell>
          <cell r="EG19">
            <v>1032.6083184230008</v>
          </cell>
          <cell r="EV19">
            <v>34029</v>
          </cell>
          <cell r="EW19">
            <v>15.305501172160557</v>
          </cell>
          <cell r="EX19">
            <v>14.849280098836019</v>
          </cell>
          <cell r="EY19">
            <v>1.0350933218931546E-2</v>
          </cell>
          <cell r="EZ19">
            <v>1.1180143403416443E-2</v>
          </cell>
        </row>
        <row r="20">
          <cell r="A20">
            <v>40695</v>
          </cell>
          <cell r="D20">
            <v>1.3459787393889533E-2</v>
          </cell>
          <cell r="H20">
            <v>1.1011011011011096E-2</v>
          </cell>
          <cell r="J20">
            <v>7.9286422200197659E-3</v>
          </cell>
          <cell r="L20">
            <v>2.2088353413654671E-2</v>
          </cell>
          <cell r="S20">
            <v>3.2201225837320768E-2</v>
          </cell>
          <cell r="Z20">
            <v>4.586639032811668E-2</v>
          </cell>
          <cell r="BP20">
            <v>40695</v>
          </cell>
          <cell r="BQ20">
            <v>30.495610881324531</v>
          </cell>
          <cell r="BR20">
            <v>34.768257967371071</v>
          </cell>
          <cell r="BS20">
            <v>28.560417035736023</v>
          </cell>
          <cell r="DB20">
            <v>38504</v>
          </cell>
          <cell r="DE20">
            <v>3.7822878228782386E-2</v>
          </cell>
          <cell r="DF20">
            <v>2.7153558052434468E-2</v>
          </cell>
          <cell r="EC20">
            <v>41426</v>
          </cell>
          <cell r="ED20">
            <v>984.48214298056951</v>
          </cell>
          <cell r="EE20">
            <v>983.56292529337941</v>
          </cell>
          <cell r="EF20">
            <v>1031.5190492135155</v>
          </cell>
          <cell r="EG20">
            <v>1033.0508832646417</v>
          </cell>
          <cell r="EV20">
            <v>34121</v>
          </cell>
          <cell r="EW20">
            <v>15.340890226622957</v>
          </cell>
          <cell r="EX20">
            <v>14.860338146856726</v>
          </cell>
          <cell r="EY20">
            <v>7.3129302761878456E-3</v>
          </cell>
          <cell r="EZ20">
            <v>6.4210176613910264E-3</v>
          </cell>
        </row>
        <row r="21">
          <cell r="A21">
            <v>40787</v>
          </cell>
          <cell r="D21">
            <v>1.3836858364407512E-2</v>
          </cell>
          <cell r="H21">
            <v>1.195219123505975E-2</v>
          </cell>
          <cell r="J21">
            <v>7.8973346495556651E-3</v>
          </cell>
          <cell r="L21">
            <v>2.39520958083832E-2</v>
          </cell>
          <cell r="S21">
            <v>2.5464836797409296E-2</v>
          </cell>
          <cell r="Z21">
            <v>4.4320222542964416E-2</v>
          </cell>
          <cell r="BP21">
            <v>40787</v>
          </cell>
          <cell r="BQ21">
            <v>30.050462793054464</v>
          </cell>
          <cell r="BR21">
            <v>34.748553878135738</v>
          </cell>
          <cell r="BS21">
            <v>28.773101622456323</v>
          </cell>
          <cell r="DB21">
            <v>38596</v>
          </cell>
          <cell r="DE21">
            <v>4.2124542124542197E-2</v>
          </cell>
          <cell r="DF21">
            <v>3.0697674418604715E-2</v>
          </cell>
          <cell r="EC21">
            <v>41518</v>
          </cell>
          <cell r="ED21">
            <v>978.09098634543489</v>
          </cell>
          <cell r="EE21">
            <v>976.26958786062028</v>
          </cell>
          <cell r="EF21">
            <v>1031.1030586624058</v>
          </cell>
          <cell r="EG21">
            <v>1026.4218999164707</v>
          </cell>
          <cell r="EV21">
            <v>34213</v>
          </cell>
          <cell r="EW21">
            <v>15.356454848941466</v>
          </cell>
          <cell r="EX21">
            <v>14.864278657669345</v>
          </cell>
          <cell r="EY21">
            <v>6.2636641162840956E-3</v>
          </cell>
          <cell r="EZ21">
            <v>3.5437360995522749E-3</v>
          </cell>
        </row>
        <row r="22">
          <cell r="A22">
            <v>40878</v>
          </cell>
          <cell r="D22">
            <v>2.4000000000000021E-2</v>
          </cell>
          <cell r="H22">
            <v>1.6999999999999904E-2</v>
          </cell>
          <cell r="J22">
            <v>2.8000000000000025E-2</v>
          </cell>
          <cell r="L22">
            <v>2.8999999999999915E-2</v>
          </cell>
          <cell r="S22">
            <v>1.8469656573861126E-2</v>
          </cell>
          <cell r="Z22">
            <v>2.5327510571095724E-2</v>
          </cell>
          <cell r="BP22">
            <v>40878</v>
          </cell>
          <cell r="BQ22">
            <v>30.643075971833181</v>
          </cell>
          <cell r="BR22">
            <v>35.205320533396431</v>
          </cell>
          <cell r="BS22">
            <v>28.883353069515927</v>
          </cell>
          <cell r="DB22">
            <v>38687</v>
          </cell>
          <cell r="DE22">
            <v>4.644808743169393E-2</v>
          </cell>
          <cell r="DF22">
            <v>3.0442804428044257E-2</v>
          </cell>
          <cell r="EC22">
            <v>41609</v>
          </cell>
          <cell r="ED22">
            <v>980.907407757633</v>
          </cell>
          <cell r="EE22">
            <v>976.35774445634524</v>
          </cell>
          <cell r="EF22">
            <v>1031.1232926359662</v>
          </cell>
          <cell r="EG22">
            <v>1029.9625856235355</v>
          </cell>
          <cell r="EV22">
            <v>34304</v>
          </cell>
          <cell r="EW22">
            <v>15.337639032458135</v>
          </cell>
          <cell r="EX22">
            <v>14.874119939630869</v>
          </cell>
          <cell r="EY22">
            <v>-9.3457411213249131E-6</v>
          </cell>
          <cell r="EZ22">
            <v>1.9326230600489325E-3</v>
          </cell>
        </row>
        <row r="23">
          <cell r="A23">
            <v>40969</v>
          </cell>
          <cell r="D23">
            <v>1.6831683168316847E-2</v>
          </cell>
          <cell r="H23">
            <v>9.9206349206348854E-3</v>
          </cell>
          <cell r="J23">
            <v>1.9782393669633969E-2</v>
          </cell>
          <cell r="L23">
            <v>2.1739130434782705E-2</v>
          </cell>
          <cell r="S23">
            <v>1.570680699966176E-2</v>
          </cell>
          <cell r="Z23">
            <v>1.993067631226908E-2</v>
          </cell>
          <cell r="BP23">
            <v>40969</v>
          </cell>
          <cell r="BQ23">
            <v>30.722864829841029</v>
          </cell>
          <cell r="BR23">
            <v>35.07788225032148</v>
          </cell>
          <cell r="BS23">
            <v>29.13431008837545</v>
          </cell>
          <cell r="DB23">
            <v>38777</v>
          </cell>
          <cell r="DE23">
            <v>4.8824593128390603E-2</v>
          </cell>
          <cell r="DF23">
            <v>3.2139577594123114E-2</v>
          </cell>
          <cell r="EC23">
            <v>41699</v>
          </cell>
          <cell r="ED23">
            <v>978.52265109515838</v>
          </cell>
          <cell r="EE23">
            <v>973.08137592688126</v>
          </cell>
          <cell r="EF23">
            <v>1031.356220098837</v>
          </cell>
          <cell r="EG23">
            <v>1030.1900717615968</v>
          </cell>
          <cell r="EV23">
            <v>34394</v>
          </cell>
          <cell r="EW23">
            <v>15.374875161675863</v>
          </cell>
          <cell r="EX23">
            <v>14.908852137974707</v>
          </cell>
          <cell r="EY23">
            <v>4.5326179610172268E-3</v>
          </cell>
          <cell r="EZ23">
            <v>4.01177961101018E-3</v>
          </cell>
        </row>
        <row r="24">
          <cell r="A24">
            <v>41061</v>
          </cell>
          <cell r="D24">
            <v>1.9704433497536922E-2</v>
          </cell>
          <cell r="H24">
            <v>1.7821782178217838E-2</v>
          </cell>
          <cell r="J24">
            <v>1.8682399213372669E-2</v>
          </cell>
          <cell r="L24">
            <v>2.5540275049115824E-2</v>
          </cell>
          <cell r="S24">
            <v>9.5073460145087552E-3</v>
          </cell>
          <cell r="Z24">
            <v>2.0725387934360517E-2</v>
          </cell>
          <cell r="BP24">
            <v>41061</v>
          </cell>
          <cell r="BQ24">
            <v>30.919195179703888</v>
          </cell>
          <cell r="BR24">
            <v>35.06544740686725</v>
          </cell>
          <cell r="BS24">
            <v>29.077613021665098</v>
          </cell>
          <cell r="DB24">
            <v>38869</v>
          </cell>
          <cell r="DE24">
            <v>3.7333333333333441E-2</v>
          </cell>
          <cell r="DF24">
            <v>3.0993618960802216E-2</v>
          </cell>
          <cell r="EC24">
            <v>41791</v>
          </cell>
          <cell r="ED24">
            <v>979.6845189734986</v>
          </cell>
          <cell r="EE24">
            <v>974.2569039099335</v>
          </cell>
          <cell r="EF24">
            <v>1030.8252284362102</v>
          </cell>
          <cell r="EG24">
            <v>1031.3879901227388</v>
          </cell>
          <cell r="EV24">
            <v>34486</v>
          </cell>
          <cell r="EW24">
            <v>15.398834149698418</v>
          </cell>
          <cell r="EX24">
            <v>14.956932887002184</v>
          </cell>
          <cell r="EY24">
            <v>3.7770900006117714E-3</v>
          </cell>
          <cell r="EZ24">
            <v>6.5001710722101258E-3</v>
          </cell>
        </row>
        <row r="25">
          <cell r="A25">
            <v>41153</v>
          </cell>
          <cell r="D25">
            <v>2.2549019607843057E-2</v>
          </cell>
          <cell r="H25">
            <v>2.5590551181102317E-2</v>
          </cell>
          <cell r="J25">
            <v>2.0568070519098924E-2</v>
          </cell>
          <cell r="L25">
            <v>2.0467836257309857E-2</v>
          </cell>
          <cell r="S25">
            <v>7.745266607078527E-3</v>
          </cell>
          <cell r="Z25">
            <v>2.1404110122676956E-2</v>
          </cell>
          <cell r="BP25">
            <v>41153</v>
          </cell>
          <cell r="BQ25">
            <v>30.335113793142632</v>
          </cell>
          <cell r="BR25">
            <v>35.083031745185494</v>
          </cell>
          <cell r="BS25">
            <v>29.336117481966195</v>
          </cell>
          <cell r="DB25">
            <v>38961</v>
          </cell>
          <cell r="DE25">
            <v>5.0966608084358489E-2</v>
          </cell>
          <cell r="DF25">
            <v>3.1588447653429608E-2</v>
          </cell>
          <cell r="EC25">
            <v>41883</v>
          </cell>
          <cell r="ED25">
            <v>979.12093399784317</v>
          </cell>
          <cell r="EE25">
            <v>972.80984142142984</v>
          </cell>
          <cell r="EF25">
            <v>1037.2081911008977</v>
          </cell>
          <cell r="EG25">
            <v>1036.0223114548464</v>
          </cell>
          <cell r="EV25">
            <v>34578</v>
          </cell>
          <cell r="EW25">
            <v>15.348795689412521</v>
          </cell>
          <cell r="EX25">
            <v>15.017979771066958</v>
          </cell>
          <cell r="EY25">
            <v>-4.9875831396550829E-4</v>
          </cell>
          <cell r="EZ25">
            <v>1.0340300860701923E-2</v>
          </cell>
        </row>
        <row r="26">
          <cell r="A26">
            <v>41244</v>
          </cell>
          <cell r="D26">
            <v>1.46484375E-2</v>
          </cell>
          <cell r="H26">
            <v>1.1799410029498469E-2</v>
          </cell>
          <cell r="J26">
            <v>1.6536964980544688E-2</v>
          </cell>
          <cell r="L26">
            <v>1.554907677356665E-2</v>
          </cell>
          <cell r="S26">
            <v>9.4991369367605216E-3</v>
          </cell>
          <cell r="Z26">
            <v>2.7257240071669298E-2</v>
          </cell>
          <cell r="BP26">
            <v>41244</v>
          </cell>
          <cell r="BQ26">
            <v>30.591458236082946</v>
          </cell>
          <cell r="BR26">
            <v>35.799430725096016</v>
          </cell>
          <cell r="BS26">
            <v>29.37554730373072</v>
          </cell>
          <cell r="DB26">
            <v>39052</v>
          </cell>
          <cell r="DE26">
            <v>5.3089643167972156E-2</v>
          </cell>
          <cell r="DF26">
            <v>3.2229185317815601E-2</v>
          </cell>
          <cell r="EC26">
            <v>41974</v>
          </cell>
          <cell r="ED26">
            <v>982.56307487109279</v>
          </cell>
          <cell r="EE26">
            <v>975.33834637939356</v>
          </cell>
          <cell r="EF26">
            <v>1042.1582108996167</v>
          </cell>
          <cell r="EG26">
            <v>1042.6815377577425</v>
          </cell>
          <cell r="EV26">
            <v>34669</v>
          </cell>
          <cell r="EW26">
            <v>15.485389468324621</v>
          </cell>
          <cell r="EX26">
            <v>15.083682381249442</v>
          </cell>
          <cell r="EY26">
            <v>9.6331929284430018E-3</v>
          </cell>
          <cell r="EZ26">
            <v>1.4089064930840722E-2</v>
          </cell>
        </row>
        <row r="27">
          <cell r="A27">
            <v>41334</v>
          </cell>
          <cell r="D27">
            <v>1.7526777020447915E-2</v>
          </cell>
          <cell r="H27">
            <v>1.6699410609037235E-2</v>
          </cell>
          <cell r="J27">
            <v>1.8428709990300662E-2</v>
          </cell>
          <cell r="L27">
            <v>1.837524177949712E-2</v>
          </cell>
          <cell r="S27">
            <v>8.5910643908491124E-3</v>
          </cell>
          <cell r="Z27">
            <v>3.7383177103081699E-2</v>
          </cell>
          <cell r="BP27">
            <v>41334</v>
          </cell>
          <cell r="BQ27">
            <v>30.396884270750412</v>
          </cell>
          <cell r="BR27">
            <v>35.111240660997218</v>
          </cell>
          <cell r="BS27">
            <v>29.486156331725457</v>
          </cell>
          <cell r="DB27">
            <v>39142</v>
          </cell>
          <cell r="DE27">
            <v>4.9137931034482829E-2</v>
          </cell>
          <cell r="DF27">
            <v>3.2028469750889688E-2</v>
          </cell>
          <cell r="EC27">
            <v>42064</v>
          </cell>
          <cell r="ED27">
            <v>986.01673654765784</v>
          </cell>
          <cell r="EE27">
            <v>976.97071144171605</v>
          </cell>
          <cell r="EF27">
            <v>1044.5085334726252</v>
          </cell>
          <cell r="EG27">
            <v>1043.3050123673147</v>
          </cell>
          <cell r="EV27">
            <v>34759</v>
          </cell>
          <cell r="EW27">
            <v>15.555856578769653</v>
          </cell>
          <cell r="EX27">
            <v>15.154955806837135</v>
          </cell>
          <cell r="EY27">
            <v>1.1771244656666457E-2</v>
          </cell>
          <cell r="EZ27">
            <v>1.6507217764644144E-2</v>
          </cell>
        </row>
        <row r="28">
          <cell r="A28">
            <v>41426</v>
          </cell>
          <cell r="D28">
            <v>-1.9323671497584183E-3</v>
          </cell>
          <cell r="H28">
            <v>-1.0700389105058328E-2</v>
          </cell>
          <cell r="J28">
            <v>9.6525096525090781E-4</v>
          </cell>
          <cell r="L28">
            <v>1.0536398467432928E-2</v>
          </cell>
          <cell r="S28">
            <v>6.8493156148901058E-3</v>
          </cell>
          <cell r="Z28">
            <v>3.97631142334407E-2</v>
          </cell>
          <cell r="BP28">
            <v>41426</v>
          </cell>
          <cell r="BQ28">
            <v>30.484239787727024</v>
          </cell>
          <cell r="BR28">
            <v>35.682604888371003</v>
          </cell>
          <cell r="BS28">
            <v>29.468098461469456</v>
          </cell>
          <cell r="DB28">
            <v>39234</v>
          </cell>
          <cell r="DE28">
            <v>4.8843187660668308E-2</v>
          </cell>
          <cell r="DF28">
            <v>3.2714412024756889E-2</v>
          </cell>
          <cell r="EC28">
            <v>42156</v>
          </cell>
          <cell r="ED28">
            <v>984.61083390842441</v>
          </cell>
          <cell r="EE28">
            <v>974.70166723596992</v>
          </cell>
          <cell r="EF28">
            <v>1041.980999700964</v>
          </cell>
          <cell r="EG28">
            <v>1043.3361647420741</v>
          </cell>
          <cell r="EV28">
            <v>34851</v>
          </cell>
          <cell r="EW28">
            <v>15.646908264561656</v>
          </cell>
          <cell r="EX28">
            <v>15.230375401042336</v>
          </cell>
          <cell r="EY28">
            <v>1.6109928352471936E-2</v>
          </cell>
          <cell r="EZ28">
            <v>1.8281991107801154E-2</v>
          </cell>
        </row>
        <row r="29">
          <cell r="A29">
            <v>41518</v>
          </cell>
          <cell r="D29">
            <v>-4.7938638542665002E-3</v>
          </cell>
          <cell r="H29">
            <v>-1.9193857965451033E-2</v>
          </cell>
          <cell r="J29">
            <v>1.9193857965451588E-3</v>
          </cell>
          <cell r="L29">
            <v>9.5510983763131829E-3</v>
          </cell>
          <cell r="S29">
            <v>1.3663535483604772E-2</v>
          </cell>
          <cell r="Z29">
            <v>3.6881810103366997E-2</v>
          </cell>
          <cell r="BP29">
            <v>41518</v>
          </cell>
          <cell r="BQ29">
            <v>30.265323142671221</v>
          </cell>
          <cell r="BR29">
            <v>35.892384273188874</v>
          </cell>
          <cell r="BS29">
            <v>29.661288332050681</v>
          </cell>
          <cell r="DB29">
            <v>39326</v>
          </cell>
          <cell r="DE29">
            <v>3.4280936454849531E-2</v>
          </cell>
          <cell r="DF29">
            <v>3.0621172353455739E-2</v>
          </cell>
          <cell r="EC29">
            <v>42248</v>
          </cell>
          <cell r="ED29">
            <v>984.03322290559208</v>
          </cell>
          <cell r="EE29">
            <v>975.05481758711051</v>
          </cell>
          <cell r="EF29">
            <v>1049.0685789647216</v>
          </cell>
          <cell r="EG29">
            <v>1049.5448064056161</v>
          </cell>
          <cell r="EV29">
            <v>34943</v>
          </cell>
          <cell r="EW29">
            <v>15.881890516355643</v>
          </cell>
          <cell r="EX29">
            <v>15.328244742179409</v>
          </cell>
          <cell r="EY29">
            <v>3.4732029647827511E-2</v>
          </cell>
          <cell r="EZ29">
            <v>2.0659567787552513E-2</v>
          </cell>
        </row>
        <row r="30">
          <cell r="A30">
            <v>41609</v>
          </cell>
          <cell r="D30">
            <v>-3.8498556304138454E-3</v>
          </cell>
          <cell r="H30">
            <v>-1.1661807580174877E-2</v>
          </cell>
          <cell r="J30">
            <v>-9.5693779904304499E-4</v>
          </cell>
          <cell r="L30">
            <v>3.82775119617218E-3</v>
          </cell>
          <cell r="S30">
            <v>1.6253207850237095E-2</v>
          </cell>
          <cell r="Z30">
            <v>2.9021558937905034E-2</v>
          </cell>
          <cell r="BP30">
            <v>41609</v>
          </cell>
          <cell r="BQ30">
            <v>30.790432726132337</v>
          </cell>
          <cell r="BR30">
            <v>36.42334545319644</v>
          </cell>
          <cell r="BS30">
            <v>29.678673635264428</v>
          </cell>
          <cell r="DB30">
            <v>39417</v>
          </cell>
          <cell r="DE30">
            <v>4.1322314049586861E-2</v>
          </cell>
          <cell r="DF30">
            <v>3.2957502168256658E-2</v>
          </cell>
          <cell r="EC30">
            <v>42339</v>
          </cell>
          <cell r="ED30">
            <v>994.37562624768202</v>
          </cell>
          <cell r="EE30">
            <v>988.05926564538265</v>
          </cell>
          <cell r="EF30">
            <v>1049.435909789365</v>
          </cell>
          <cell r="EG30">
            <v>1050.7480247556673</v>
          </cell>
          <cell r="EV30">
            <v>35034</v>
          </cell>
          <cell r="EW30">
            <v>16.005306608485778</v>
          </cell>
          <cell r="EX30">
            <v>15.43902041702867</v>
          </cell>
          <cell r="EY30">
            <v>3.3574689304692429E-2</v>
          </cell>
          <cell r="EZ30">
            <v>2.355777765653233E-2</v>
          </cell>
        </row>
        <row r="31">
          <cell r="A31">
            <v>41699</v>
          </cell>
          <cell r="D31">
            <v>-3.827751196172291E-3</v>
          </cell>
          <cell r="H31">
            <v>-1.2560386473429941E-2</v>
          </cell>
          <cell r="J31">
            <v>9.5238095238103782E-4</v>
          </cell>
          <cell r="L31">
            <v>2.8490028490029129E-3</v>
          </cell>
          <cell r="S31">
            <v>1.5332198317709933E-2</v>
          </cell>
          <cell r="Z31">
            <v>2.1294021864743939E-2</v>
          </cell>
          <cell r="BP31">
            <v>41699</v>
          </cell>
          <cell r="BQ31">
            <v>31.056451903320106</v>
          </cell>
          <cell r="BR31">
            <v>35.942329317943695</v>
          </cell>
          <cell r="BS31">
            <v>29.758475829888788</v>
          </cell>
          <cell r="DB31">
            <v>39508</v>
          </cell>
          <cell r="DE31">
            <v>4.6014790468364763E-2</v>
          </cell>
          <cell r="DF31">
            <v>3.4482758620689724E-2</v>
          </cell>
          <cell r="EC31">
            <v>42430</v>
          </cell>
          <cell r="ED31">
            <v>997.22250058245731</v>
          </cell>
          <cell r="EE31">
            <v>990.01583391158124</v>
          </cell>
          <cell r="EF31">
            <v>1056.471237825692</v>
          </cell>
          <cell r="EG31">
            <v>1057.7757178856018</v>
          </cell>
          <cell r="EV31">
            <v>35125</v>
          </cell>
          <cell r="EW31">
            <v>16.135945215987725</v>
          </cell>
          <cell r="EX31">
            <v>15.554037332440783</v>
          </cell>
          <cell r="EY31">
            <v>3.7290690762073808E-2</v>
          </cell>
          <cell r="EZ31">
            <v>2.6333400815567121E-2</v>
          </cell>
        </row>
        <row r="32">
          <cell r="A32">
            <v>41791</v>
          </cell>
          <cell r="D32">
            <v>9.6805421103580702E-3</v>
          </cell>
          <cell r="H32">
            <v>4.9164208456244918E-3</v>
          </cell>
          <cell r="J32">
            <v>1.4464802314368308E-2</v>
          </cell>
          <cell r="L32">
            <v>8.5308056872037685E-3</v>
          </cell>
          <cell r="S32">
            <v>1.6156462561985219E-2</v>
          </cell>
          <cell r="Z32">
            <v>1.7087061833979567E-2</v>
          </cell>
          <cell r="BP32">
            <v>41791</v>
          </cell>
          <cell r="BQ32">
            <v>30.620596511295016</v>
          </cell>
          <cell r="BR32">
            <v>35.536312761131647</v>
          </cell>
          <cell r="BS32">
            <v>29.736399155864017</v>
          </cell>
          <cell r="DB32">
            <v>39600</v>
          </cell>
          <cell r="DE32">
            <v>5.1470588235294157E-2</v>
          </cell>
          <cell r="DF32">
            <v>3.5958904109589129E-2</v>
          </cell>
          <cell r="EC32">
            <v>42522</v>
          </cell>
          <cell r="ED32">
            <v>994.8788381733375</v>
          </cell>
          <cell r="EE32">
            <v>986.80497925218322</v>
          </cell>
          <cell r="EF32">
            <v>1055.9645009863873</v>
          </cell>
          <cell r="EG32">
            <v>1056.4130393285084</v>
          </cell>
          <cell r="EV32">
            <v>35217</v>
          </cell>
          <cell r="EW32">
            <v>16.30226268746679</v>
          </cell>
          <cell r="EX32">
            <v>15.689501039174194</v>
          </cell>
          <cell r="EY32">
            <v>4.1883956358933272E-2</v>
          </cell>
          <cell r="EZ32">
            <v>3.014539208931355E-2</v>
          </cell>
        </row>
        <row r="33">
          <cell r="A33">
            <v>41883</v>
          </cell>
          <cell r="D33">
            <v>8.6705202312138407E-3</v>
          </cell>
          <cell r="H33">
            <v>0</v>
          </cell>
          <cell r="J33">
            <v>1.4367816091954033E-2</v>
          </cell>
          <cell r="L33">
            <v>9.4607379375590828E-3</v>
          </cell>
          <cell r="S33">
            <v>1.0109520604429267E-2</v>
          </cell>
          <cell r="Z33">
            <v>1.9401778936251501E-2</v>
          </cell>
          <cell r="AF33">
            <v>29.35</v>
          </cell>
          <cell r="AG33">
            <v>2.7661064425770432E-2</v>
          </cell>
          <cell r="AH33">
            <v>8.937779305603355E-3</v>
          </cell>
          <cell r="BP33">
            <v>41883</v>
          </cell>
          <cell r="BQ33">
            <v>30.791209825818001</v>
          </cell>
          <cell r="BR33">
            <v>35.858383367852099</v>
          </cell>
          <cell r="BS33">
            <v>30.067327891241696</v>
          </cell>
          <cell r="DB33">
            <v>39692</v>
          </cell>
          <cell r="DE33">
            <v>5.6588520614389681E-2</v>
          </cell>
          <cell r="DF33">
            <v>3.9898132427843791E-2</v>
          </cell>
          <cell r="EC33">
            <v>42614</v>
          </cell>
          <cell r="ED33">
            <v>997.8461545959351</v>
          </cell>
          <cell r="EE33">
            <v>991.58726294524365</v>
          </cell>
          <cell r="EF33">
            <v>1059.1618340846665</v>
          </cell>
          <cell r="EG33">
            <v>1057.9089749165782</v>
          </cell>
          <cell r="EV33">
            <v>35309</v>
          </cell>
          <cell r="EW33">
            <v>16.438777191179586</v>
          </cell>
          <cell r="EX33">
            <v>15.822881414569956</v>
          </cell>
          <cell r="EY33">
            <v>3.5064255999652127E-2</v>
          </cell>
          <cell r="EZ33">
            <v>3.2269622563465106E-2</v>
          </cell>
        </row>
        <row r="34">
          <cell r="A34">
            <v>41974</v>
          </cell>
          <cell r="D34">
            <v>1.0628019323671412E-2</v>
          </cell>
          <cell r="H34">
            <v>5.8997050147493457E-3</v>
          </cell>
          <cell r="J34">
            <v>1.3409961685823646E-2</v>
          </cell>
          <cell r="L34">
            <v>1.2392755004766443E-2</v>
          </cell>
          <cell r="S34">
            <v>7.5757574037598197E-3</v>
          </cell>
          <cell r="Z34">
            <v>2.0950845596245937E-2</v>
          </cell>
          <cell r="AF34">
            <v>29.82</v>
          </cell>
          <cell r="AG34">
            <v>2.5447042640990514E-2</v>
          </cell>
          <cell r="AH34">
            <v>1.6013628620102249E-2</v>
          </cell>
          <cell r="BP34">
            <v>41974</v>
          </cell>
          <cell r="BQ34">
            <v>31.33656000418868</v>
          </cell>
          <cell r="BR34">
            <v>36.664405719186554</v>
          </cell>
          <cell r="BS34">
            <v>30.254177146901146</v>
          </cell>
          <cell r="DB34">
            <v>39783</v>
          </cell>
          <cell r="DE34">
            <v>4.2857142857142927E-2</v>
          </cell>
          <cell r="DF34">
            <v>3.5264483627204024E-2</v>
          </cell>
          <cell r="EC34">
            <v>42705</v>
          </cell>
          <cell r="ED34">
            <v>997.2981879784636</v>
          </cell>
          <cell r="EE34">
            <v>992.84596392498827</v>
          </cell>
          <cell r="EF34">
            <v>1059.2320834457332</v>
          </cell>
          <cell r="EG34">
            <v>1060.4756349277575</v>
          </cell>
          <cell r="EV34">
            <v>35400</v>
          </cell>
          <cell r="EW34">
            <v>16.551191038374892</v>
          </cell>
          <cell r="EX34">
            <v>15.971533046862552</v>
          </cell>
          <cell r="EY34">
            <v>3.4106465014527965E-2</v>
          </cell>
          <cell r="EZ34">
            <v>3.4491348249435561E-2</v>
          </cell>
        </row>
        <row r="35">
          <cell r="A35">
            <v>42064</v>
          </cell>
          <cell r="D35">
            <v>5.7636887608070175E-3</v>
          </cell>
          <cell r="H35">
            <v>1.9569471624265589E-3</v>
          </cell>
          <cell r="J35">
            <v>8.5632730732636553E-3</v>
          </cell>
          <cell r="L35">
            <v>5.6818181818181213E-3</v>
          </cell>
          <cell r="S35">
            <v>2.5167784656785486E-3</v>
          </cell>
          <cell r="Z35">
            <v>1.7642340873515128E-2</v>
          </cell>
          <cell r="AF35">
            <v>29.82</v>
          </cell>
          <cell r="AG35">
            <v>1.3251783893985847E-2</v>
          </cell>
          <cell r="AH35">
            <v>0</v>
          </cell>
          <cell r="BP35">
            <v>42064</v>
          </cell>
          <cell r="BQ35">
            <v>31.38900611780053</v>
          </cell>
          <cell r="BR35">
            <v>36.567876342467827</v>
          </cell>
          <cell r="BS35">
            <v>30.294285582505008</v>
          </cell>
          <cell r="DB35">
            <v>39873</v>
          </cell>
          <cell r="DE35">
            <v>4.3990573448546844E-2</v>
          </cell>
          <cell r="DF35">
            <v>3.3333333333333437E-2</v>
          </cell>
          <cell r="EC35">
            <v>42795</v>
          </cell>
          <cell r="ED35">
            <v>990.18189272300003</v>
          </cell>
          <cell r="EE35">
            <v>984.00978831599991</v>
          </cell>
          <cell r="EF35">
            <v>1059.4286379240125</v>
          </cell>
          <cell r="EG35">
            <v>1059.8267767886257</v>
          </cell>
          <cell r="EV35">
            <v>35490</v>
          </cell>
          <cell r="EW35">
            <v>16.707932637003633</v>
          </cell>
          <cell r="EX35">
            <v>16.137098274750429</v>
          </cell>
          <cell r="EY35">
            <v>3.5448026958419199E-2</v>
          </cell>
          <cell r="EZ35">
            <v>3.7486147798653224E-2</v>
          </cell>
        </row>
        <row r="36">
          <cell r="A36">
            <v>42156</v>
          </cell>
          <cell r="D36">
            <v>6.7114093959732557E-3</v>
          </cell>
          <cell r="H36">
            <v>3.9138943248533398E-3</v>
          </cell>
          <cell r="J36">
            <v>1.0456273764258617E-2</v>
          </cell>
          <cell r="L36">
            <v>6.5789473684210176E-3</v>
          </cell>
          <cell r="S36">
            <v>4.1840999805606849E-3</v>
          </cell>
          <cell r="Z36">
            <v>1.7600000316189357E-2</v>
          </cell>
          <cell r="AF36">
            <v>29.84</v>
          </cell>
          <cell r="AG36">
            <v>2.5782055689240302E-2</v>
          </cell>
          <cell r="AH36">
            <v>6.7069081153592336E-4</v>
          </cell>
          <cell r="BP36">
            <v>42156</v>
          </cell>
          <cell r="BQ36">
            <v>31.279183205943045</v>
          </cell>
          <cell r="BR36">
            <v>36.698532306972716</v>
          </cell>
          <cell r="BS36">
            <v>30.440599205783716</v>
          </cell>
          <cell r="DB36">
            <v>39965</v>
          </cell>
          <cell r="DE36">
            <v>4.3512043512043519E-2</v>
          </cell>
          <cell r="DF36">
            <v>2.8099173553719048E-2</v>
          </cell>
          <cell r="EC36">
            <v>42887</v>
          </cell>
          <cell r="ED36">
            <v>992.82708032599999</v>
          </cell>
          <cell r="EE36">
            <v>986.65497591899998</v>
          </cell>
          <cell r="EF36">
            <v>1061.664955587901</v>
          </cell>
          <cell r="EG36">
            <v>1064.5394871191224</v>
          </cell>
          <cell r="EV36">
            <v>35582</v>
          </cell>
          <cell r="EW36">
            <v>16.865291621434917</v>
          </cell>
          <cell r="EX36">
            <v>16.279566482018296</v>
          </cell>
          <cell r="EY36">
            <v>3.4536858150432392E-2</v>
          </cell>
          <cell r="EZ36">
            <v>3.7608936152322636E-2</v>
          </cell>
        </row>
        <row r="37">
          <cell r="A37">
            <v>42248</v>
          </cell>
          <cell r="D37">
            <v>5.7306590257879542E-3</v>
          </cell>
          <cell r="H37">
            <v>8.8062622309197369E-3</v>
          </cell>
          <cell r="J37">
            <v>2.8328611898016387E-3</v>
          </cell>
          <cell r="L37">
            <v>6.5604498594189486E-3</v>
          </cell>
          <cell r="S37">
            <v>4.1701413473294036E-3</v>
          </cell>
          <cell r="Z37">
            <v>2.379064417207255E-3</v>
          </cell>
          <cell r="AF37">
            <v>29.81</v>
          </cell>
          <cell r="AG37">
            <v>1.5672913117546816E-2</v>
          </cell>
          <cell r="AH37">
            <v>-1.0053619302949901E-3</v>
          </cell>
          <cell r="BP37">
            <v>42248</v>
          </cell>
          <cell r="BQ37">
            <v>31.143923220263325</v>
          </cell>
          <cell r="BR37">
            <v>36.952719366008509</v>
          </cell>
          <cell r="BS37">
            <v>30.621549466149549</v>
          </cell>
          <cell r="DB37">
            <v>40057</v>
          </cell>
          <cell r="DE37">
            <v>3.3709257842387208E-2</v>
          </cell>
          <cell r="DF37">
            <v>2.0587755102040806E-2</v>
          </cell>
          <cell r="EC37">
            <v>42979</v>
          </cell>
          <cell r="ED37">
            <v>1010.8051953151149</v>
          </cell>
          <cell r="EE37">
            <v>981.84983815765065</v>
          </cell>
          <cell r="EF37">
            <v>1069.0164030494009</v>
          </cell>
          <cell r="EG37">
            <v>1067.7290377693218</v>
          </cell>
          <cell r="EV37">
            <v>35674</v>
          </cell>
          <cell r="EW37">
            <v>17.062358606786873</v>
          </cell>
          <cell r="EX37">
            <v>16.430300576009056</v>
          </cell>
          <cell r="EY37">
            <v>3.7933564544075482E-2</v>
          </cell>
          <cell r="EZ37">
            <v>3.8388656624815498E-2</v>
          </cell>
        </row>
        <row r="38">
          <cell r="A38">
            <v>42339</v>
          </cell>
          <cell r="D38">
            <v>5.7361376673039643E-3</v>
          </cell>
          <cell r="H38">
            <v>8.7976539589442737E-3</v>
          </cell>
          <cell r="J38">
            <v>3.780718336483968E-3</v>
          </cell>
          <cell r="L38">
            <v>5.6497175141243527E-3</v>
          </cell>
          <cell r="S38">
            <v>8.3542221063814814E-4</v>
          </cell>
          <cell r="Z38">
            <v>3.157064174799773E-3</v>
          </cell>
          <cell r="AF38">
            <v>30.26</v>
          </cell>
          <cell r="AG38">
            <v>1.4755197853789426E-2</v>
          </cell>
          <cell r="AH38">
            <v>1.5095605501509679E-2</v>
          </cell>
          <cell r="BP38">
            <v>42339</v>
          </cell>
          <cell r="BQ38">
            <v>31.772393783655627</v>
          </cell>
          <cell r="BR38">
            <v>37.242789408667051</v>
          </cell>
          <cell r="BS38">
            <v>30.879910812204624</v>
          </cell>
          <cell r="DB38">
            <v>40148</v>
          </cell>
          <cell r="DE38">
            <v>3.3312785388127875E-2</v>
          </cell>
          <cell r="DF38">
            <v>1.8001622060016098E-2</v>
          </cell>
          <cell r="EC38">
            <v>43070</v>
          </cell>
          <cell r="ED38">
            <v>1016.7056393240556</v>
          </cell>
          <cell r="EE38">
            <v>986.02917606858853</v>
          </cell>
          <cell r="EF38">
            <v>1068.0789636919844</v>
          </cell>
          <cell r="EG38">
            <v>1070.8787546023023</v>
          </cell>
          <cell r="EV38">
            <v>35765</v>
          </cell>
          <cell r="EW38">
            <v>17.211818067466279</v>
          </cell>
          <cell r="EX38">
            <v>16.558020082956666</v>
          </cell>
          <cell r="EY38">
            <v>3.9914168567064756E-2</v>
          </cell>
          <cell r="EZ38">
            <v>3.6720772788265466E-2</v>
          </cell>
        </row>
        <row r="39">
          <cell r="A39">
            <v>42430</v>
          </cell>
          <cell r="D39">
            <v>5.7306590257879542E-3</v>
          </cell>
          <cell r="H39">
            <v>6.8359375E-3</v>
          </cell>
          <cell r="J39">
            <v>2.8301886792452269E-3</v>
          </cell>
          <cell r="L39">
            <v>7.532956685499137E-3</v>
          </cell>
          <cell r="S39">
            <v>4.1840999805604628E-3</v>
          </cell>
          <cell r="Z39">
            <v>7.8802212548922945E-4</v>
          </cell>
          <cell r="AF39">
            <v>30.35</v>
          </cell>
          <cell r="AG39">
            <v>1.7773306505700859E-2</v>
          </cell>
          <cell r="AH39">
            <v>2.974223397224085E-3</v>
          </cell>
          <cell r="BP39">
            <v>42430</v>
          </cell>
          <cell r="BQ39">
            <v>31.813780506044619</v>
          </cell>
          <cell r="BR39">
            <v>37.337952607094209</v>
          </cell>
          <cell r="BS39">
            <v>30.901820405871344</v>
          </cell>
          <cell r="DB39">
            <v>40238</v>
          </cell>
          <cell r="DE39">
            <v>2.5692249811888557E-2</v>
          </cell>
          <cell r="DF39">
            <v>1.5264516129032346E-2</v>
          </cell>
          <cell r="EC39">
            <v>43160</v>
          </cell>
          <cell r="ED39">
            <v>1014.2938286478734</v>
          </cell>
          <cell r="EE39">
            <v>982.89694315232441</v>
          </cell>
          <cell r="EF39">
            <v>1068.2325678636246</v>
          </cell>
          <cell r="EG39">
            <v>1069.3813462290404</v>
          </cell>
          <cell r="EV39">
            <v>35855</v>
          </cell>
          <cell r="EW39">
            <v>17.318277953411595</v>
          </cell>
          <cell r="EX39">
            <v>16.657151031353589</v>
          </cell>
          <cell r="EY39">
            <v>3.6530271558326E-2</v>
          </cell>
          <cell r="EZ39">
            <v>3.2227154333990926E-2</v>
          </cell>
        </row>
        <row r="40">
          <cell r="A40">
            <v>42522</v>
          </cell>
          <cell r="D40">
            <v>5.7142857142857828E-3</v>
          </cell>
          <cell r="H40">
            <v>5.8479532163742132E-3</v>
          </cell>
          <cell r="J40">
            <v>3.7629350893697566E-3</v>
          </cell>
          <cell r="L40">
            <v>8.4033613445377853E-3</v>
          </cell>
          <cell r="S40">
            <v>4.166667254124734E-3</v>
          </cell>
          <cell r="Z40">
            <v>0</v>
          </cell>
          <cell r="AF40">
            <v>30.04</v>
          </cell>
          <cell r="AG40">
            <v>6.7024128686326012E-3</v>
          </cell>
          <cell r="AH40">
            <v>-1.0214168039538785E-2</v>
          </cell>
          <cell r="BP40">
            <v>42522</v>
          </cell>
          <cell r="BQ40">
            <v>31.358170145289222</v>
          </cell>
          <cell r="BR40">
            <v>37.454432250764896</v>
          </cell>
          <cell r="BS40">
            <v>30.971934361209428</v>
          </cell>
          <cell r="DB40">
            <v>40330</v>
          </cell>
          <cell r="DE40">
            <v>1.8000000000000016E-2</v>
          </cell>
          <cell r="DF40">
            <v>1.6000000000000014E-2</v>
          </cell>
          <cell r="DG40">
            <v>1.8000000000000016E-2</v>
          </cell>
          <cell r="EC40">
            <v>43252</v>
          </cell>
          <cell r="ED40">
            <v>1012.0340090295566</v>
          </cell>
          <cell r="EE40">
            <v>980.76085510246298</v>
          </cell>
          <cell r="EF40">
            <v>1068.5171082692157</v>
          </cell>
          <cell r="EG40">
            <v>1070.4653661690065</v>
          </cell>
          <cell r="EV40">
            <v>35947</v>
          </cell>
          <cell r="EW40">
            <v>17.419292944886752</v>
          </cell>
          <cell r="EX40">
            <v>16.774066611832069</v>
          </cell>
          <cell r="EY40">
            <v>3.2848606231494326E-2</v>
          </cell>
          <cell r="EZ40">
            <v>3.0375509713970406E-2</v>
          </cell>
        </row>
        <row r="41">
          <cell r="A41">
            <v>42614</v>
          </cell>
          <cell r="D41">
            <v>8.5470085470085166E-3</v>
          </cell>
          <cell r="H41">
            <v>4.8496605237633439E-3</v>
          </cell>
          <cell r="J41">
            <v>1.0357815442561202E-2</v>
          </cell>
          <cell r="L41">
            <v>9.3109869646181842E-3</v>
          </cell>
          <cell r="S41">
            <v>4.1528234864003366E-3</v>
          </cell>
          <cell r="Z41">
            <v>1.898734115697609E-2</v>
          </cell>
          <cell r="AF41">
            <v>30.21</v>
          </cell>
          <cell r="AG41">
            <v>1.3418316001341912E-2</v>
          </cell>
          <cell r="AH41">
            <v>5.65912117177092E-3</v>
          </cell>
          <cell r="BP41">
            <v>42614</v>
          </cell>
          <cell r="BQ41">
            <v>31.43129360924592</v>
          </cell>
          <cell r="BR41">
            <v>38.006790981322524</v>
          </cell>
          <cell r="BS41">
            <v>31.046335693475612</v>
          </cell>
          <cell r="DB41">
            <v>40422</v>
          </cell>
          <cell r="DE41">
            <v>1.491053677932408E-2</v>
          </cell>
          <cell r="DF41">
            <v>1.5920398009950265E-2</v>
          </cell>
          <cell r="DG41">
            <v>1.3902681231380276E-2</v>
          </cell>
          <cell r="EC41">
            <v>43344</v>
          </cell>
          <cell r="ED41">
            <v>1016.9161976376953</v>
          </cell>
          <cell r="EE41">
            <v>982.47365072363277</v>
          </cell>
          <cell r="EF41">
            <v>1078.3827239571758</v>
          </cell>
          <cell r="EG41">
            <v>1075.4456384186196</v>
          </cell>
          <cell r="EV41">
            <v>36039</v>
          </cell>
          <cell r="EW41">
            <v>17.46581524303917</v>
          </cell>
          <cell r="EX41">
            <v>16.877588883049583</v>
          </cell>
          <cell r="EY41">
            <v>2.364600613257628E-2</v>
          </cell>
          <cell r="EZ41">
            <v>2.7223379448921392E-2</v>
          </cell>
        </row>
        <row r="42">
          <cell r="A42">
            <v>42705</v>
          </cell>
          <cell r="D42">
            <v>1.1406844106463865E-2</v>
          </cell>
          <cell r="H42">
            <v>5.8139534883721034E-3</v>
          </cell>
          <cell r="J42">
            <v>1.6007532956685555E-2</v>
          </cell>
          <cell r="L42">
            <v>1.0299625468164875E-2</v>
          </cell>
          <cell r="S42">
            <v>1.3355592690301732E-2</v>
          </cell>
          <cell r="Z42">
            <v>2.0456334144950405E-2</v>
          </cell>
          <cell r="AF42">
            <v>29.92</v>
          </cell>
          <cell r="AG42">
            <v>-1.1235955056179803E-2</v>
          </cell>
          <cell r="AH42">
            <v>-9.5994703740482912E-3</v>
          </cell>
          <cell r="BP42">
            <v>42705</v>
          </cell>
          <cell r="BQ42">
            <v>31.001359070484046</v>
          </cell>
          <cell r="BR42">
            <v>38.285435082031604</v>
          </cell>
          <cell r="BS42">
            <v>30.877022068864456</v>
          </cell>
          <cell r="DB42">
            <v>40513</v>
          </cell>
          <cell r="DE42">
            <v>1.3847675568744E-2</v>
          </cell>
          <cell r="DF42">
            <v>1.6848364717542141E-2</v>
          </cell>
          <cell r="DG42">
            <v>8.8757396449703485E-3</v>
          </cell>
          <cell r="EC42">
            <v>43435</v>
          </cell>
          <cell r="ED42">
            <v>1025.3865439921951</v>
          </cell>
          <cell r="EE42">
            <v>994.41849400585363</v>
          </cell>
          <cell r="EF42">
            <v>1079.1547144426213</v>
          </cell>
          <cell r="EG42">
            <v>1079.4353509546797</v>
          </cell>
          <cell r="EV42">
            <v>36130</v>
          </cell>
          <cell r="EW42">
            <v>17.564780484934087</v>
          </cell>
          <cell r="EX42">
            <v>17.003173669210259</v>
          </cell>
          <cell r="EY42">
            <v>2.0506980499345184E-2</v>
          </cell>
          <cell r="EZ42">
            <v>2.6884469521316401E-2</v>
          </cell>
        </row>
        <row r="43">
          <cell r="A43">
            <v>42795</v>
          </cell>
          <cell r="D43">
            <v>1.5194681861348425E-2</v>
          </cell>
          <cell r="H43">
            <v>1.2609117361784605E-2</v>
          </cell>
          <cell r="J43">
            <v>1.8814675446848561E-2</v>
          </cell>
          <cell r="L43">
            <v>1.6822429906542036E-2</v>
          </cell>
          <cell r="S43">
            <v>2.1666666860783224E-2</v>
          </cell>
          <cell r="Z43">
            <v>2.6771653551410424E-2</v>
          </cell>
          <cell r="AF43">
            <v>30.63</v>
          </cell>
          <cell r="AG43">
            <v>9.2257001647446657E-3</v>
          </cell>
          <cell r="AH43">
            <v>2.3729946524064127E-2</v>
          </cell>
          <cell r="BP43">
            <v>42795</v>
          </cell>
          <cell r="BQ43">
            <v>31.426379999999998</v>
          </cell>
          <cell r="BR43">
            <v>38.033819999999999</v>
          </cell>
          <cell r="BS43">
            <v>30.738959999999999</v>
          </cell>
          <cell r="DB43">
            <v>40603</v>
          </cell>
          <cell r="DE43">
            <v>1.7733990147783318E-2</v>
          </cell>
          <cell r="DF43">
            <v>1.8774703557312256E-2</v>
          </cell>
          <cell r="DG43">
            <v>1.7699115044247815E-2</v>
          </cell>
          <cell r="EV43">
            <v>36220</v>
          </cell>
          <cell r="EW43">
            <v>17.653425446171561</v>
          </cell>
          <cell r="EX43">
            <v>17.123582699996948</v>
          </cell>
          <cell r="EY43">
            <v>1.9352241236776369E-2</v>
          </cell>
          <cell r="EZ43">
            <v>2.8001887463552366E-2</v>
          </cell>
        </row>
        <row r="44">
          <cell r="A44">
            <v>42887</v>
          </cell>
          <cell r="AF44">
            <v>30.77</v>
          </cell>
          <cell r="AG44">
            <v>2.4300932090545846E-2</v>
          </cell>
          <cell r="AH44">
            <v>4.5706823375775141E-3</v>
          </cell>
          <cell r="BP44">
            <v>42887</v>
          </cell>
          <cell r="BQ44">
            <v>31.57002</v>
          </cell>
          <cell r="BR44">
            <v>38.044080000000001</v>
          </cell>
          <cell r="BS44">
            <v>30.933899999999998</v>
          </cell>
          <cell r="DB44">
            <v>40695</v>
          </cell>
          <cell r="DE44">
            <v>1.5717092337917515E-2</v>
          </cell>
          <cell r="DF44">
            <v>1.870078740157477E-2</v>
          </cell>
          <cell r="DG44">
            <v>1.6699410609037235E-2</v>
          </cell>
          <cell r="EV44">
            <v>36312</v>
          </cell>
          <cell r="EW44">
            <v>17.682467853787625</v>
          </cell>
          <cell r="EX44">
            <v>17.217462122807756</v>
          </cell>
          <cell r="EY44">
            <v>1.5108242896743063E-2</v>
          </cell>
          <cell r="EZ44">
            <v>2.6433393954863993E-2</v>
          </cell>
        </row>
        <row r="45">
          <cell r="A45">
            <v>42979</v>
          </cell>
          <cell r="AF45">
            <v>31.35</v>
          </cell>
          <cell r="AG45">
            <v>3.7735849056603765E-2</v>
          </cell>
          <cell r="AH45">
            <v>1.884952876178092E-2</v>
          </cell>
          <cell r="BP45">
            <v>42979</v>
          </cell>
          <cell r="BQ45">
            <v>32.008451789247687</v>
          </cell>
          <cell r="BR45">
            <v>38.063001043162799</v>
          </cell>
          <cell r="BS45">
            <v>31.150809061880288</v>
          </cell>
          <cell r="DB45">
            <v>40787</v>
          </cell>
          <cell r="DE45">
            <v>1.7629774730656189E-2</v>
          </cell>
          <cell r="DF45">
            <v>1.9588638589618013E-2</v>
          </cell>
          <cell r="DG45">
            <v>1.7629774730656189E-2</v>
          </cell>
          <cell r="EV45">
            <v>36404</v>
          </cell>
          <cell r="EW45">
            <v>17.791844357308452</v>
          </cell>
          <cell r="EX45">
            <v>17.34471008757497</v>
          </cell>
          <cell r="EY45">
            <v>1.8666698904834522E-2</v>
          </cell>
          <cell r="EZ45">
            <v>2.7677010487826559E-2</v>
          </cell>
        </row>
        <row r="46">
          <cell r="A46">
            <v>43070</v>
          </cell>
          <cell r="AF46">
            <v>31.59</v>
          </cell>
          <cell r="AG46">
            <v>5.5815508021390237E-2</v>
          </cell>
          <cell r="AH46">
            <v>7.6555023923443599E-3</v>
          </cell>
          <cell r="BP46">
            <v>43070</v>
          </cell>
          <cell r="BQ46">
            <v>32.218031809145131</v>
          </cell>
          <cell r="BR46">
            <v>38.602485089463222</v>
          </cell>
          <cell r="BS46">
            <v>31.351133200795228</v>
          </cell>
          <cell r="DB46">
            <v>40878</v>
          </cell>
          <cell r="DE46">
            <v>1.7560975609756113E-2</v>
          </cell>
          <cell r="DF46">
            <v>2.0467836257309857E-2</v>
          </cell>
          <cell r="DG46">
            <v>1.6617790811339184E-2</v>
          </cell>
          <cell r="EV46">
            <v>36495</v>
          </cell>
          <cell r="EW46">
            <v>17.834225962764602</v>
          </cell>
          <cell r="EX46">
            <v>17.419142121077307</v>
          </cell>
          <cell r="EY46">
            <v>1.5340099357440184E-2</v>
          </cell>
          <cell r="EZ46">
            <v>2.4464165335221777E-2</v>
          </cell>
        </row>
        <row r="47">
          <cell r="A47">
            <v>43160</v>
          </cell>
          <cell r="AF47">
            <v>32.270000000000003</v>
          </cell>
          <cell r="AG47">
            <v>5.3542278811622657E-2</v>
          </cell>
          <cell r="AH47">
            <v>2.152579930357712E-2</v>
          </cell>
          <cell r="BP47">
            <v>43160</v>
          </cell>
          <cell r="BQ47">
            <v>32.74878338278932</v>
          </cell>
          <cell r="BR47">
            <v>38.40142433234422</v>
          </cell>
          <cell r="BS47">
            <v>31.490385756676559</v>
          </cell>
          <cell r="DB47">
            <v>40969</v>
          </cell>
          <cell r="DE47">
            <v>1.3552758954501476E-2</v>
          </cell>
          <cell r="DF47">
            <v>2.0368574199806089E-2</v>
          </cell>
          <cell r="DG47">
            <v>9.6618357487923134E-3</v>
          </cell>
          <cell r="EV47">
            <v>36586</v>
          </cell>
          <cell r="EW47">
            <v>17.886741184896017</v>
          </cell>
          <cell r="EX47">
            <v>17.491566532440213</v>
          </cell>
          <cell r="EY47">
            <v>1.3216457023362382E-2</v>
          </cell>
          <cell r="EZ47">
            <v>2.1489885550839194E-2</v>
          </cell>
        </row>
        <row r="48">
          <cell r="A48">
            <v>43252</v>
          </cell>
          <cell r="AF48">
            <v>32.159999999999997</v>
          </cell>
          <cell r="AG48">
            <v>4.5173870653233639E-2</v>
          </cell>
          <cell r="AH48">
            <v>-3.4087387666565938E-3</v>
          </cell>
          <cell r="BP48">
            <v>43252</v>
          </cell>
          <cell r="BQ48">
            <v>32.508532019704433</v>
          </cell>
          <cell r="BR48">
            <v>38.290522167487687</v>
          </cell>
          <cell r="BS48">
            <v>31.416827586206896</v>
          </cell>
          <cell r="DB48">
            <v>41061</v>
          </cell>
          <cell r="DE48">
            <v>1.934235976789167E-2</v>
          </cell>
          <cell r="DF48">
            <v>2.0289855072463725E-2</v>
          </cell>
          <cell r="DG48">
            <v>1.9323671497584627E-2</v>
          </cell>
          <cell r="EV48">
            <v>36678</v>
          </cell>
          <cell r="EW48">
            <v>17.924502914191695</v>
          </cell>
          <cell r="EX48">
            <v>17.576522100996943</v>
          </cell>
          <cell r="EY48">
            <v>1.3687855247661362E-2</v>
          </cell>
          <cell r="EZ48">
            <v>2.0854407904492778E-2</v>
          </cell>
        </row>
        <row r="49">
          <cell r="A49">
            <v>43344</v>
          </cell>
          <cell r="AF49">
            <v>32.450000000000003</v>
          </cell>
          <cell r="AG49">
            <v>3.5087719298245723E-2</v>
          </cell>
          <cell r="AH49">
            <v>9.0174129353235433E-3</v>
          </cell>
          <cell r="BP49">
            <v>43344</v>
          </cell>
          <cell r="BQ49">
            <v>32.513378906250004</v>
          </cell>
          <cell r="BR49">
            <v>38.024121093750004</v>
          </cell>
          <cell r="BS49">
            <v>31.451308593749999</v>
          </cell>
          <cell r="DB49">
            <v>41153</v>
          </cell>
          <cell r="DE49">
            <v>1.7324350336862304E-2</v>
          </cell>
          <cell r="DF49">
            <v>1.9212295869356577E-2</v>
          </cell>
          <cell r="DG49">
            <v>1.5399422521655382E-2</v>
          </cell>
          <cell r="EV49">
            <v>36770</v>
          </cell>
          <cell r="EW49">
            <v>17.908326571247382</v>
          </cell>
          <cell r="EX49">
            <v>17.652105576318331</v>
          </cell>
          <cell r="EY49">
            <v>6.5469442964793956E-3</v>
          </cell>
          <cell r="EZ49">
            <v>1.7722722789328405E-2</v>
          </cell>
        </row>
        <row r="50">
          <cell r="A50">
            <v>43435</v>
          </cell>
          <cell r="AF50">
            <v>32.880000000000003</v>
          </cell>
          <cell r="AG50">
            <v>4.0835707502374197E-2</v>
          </cell>
          <cell r="AH50">
            <v>1.3251155624036892E-2</v>
          </cell>
          <cell r="BP50">
            <v>43435</v>
          </cell>
          <cell r="BQ50">
            <v>32.912078048780494</v>
          </cell>
          <cell r="BR50">
            <v>38.487512195121958</v>
          </cell>
          <cell r="BS50">
            <v>31.730926829268295</v>
          </cell>
          <cell r="DB50">
            <v>41244</v>
          </cell>
          <cell r="DE50">
            <v>1.6299137104506256E-2</v>
          </cell>
          <cell r="DF50">
            <v>1.8147086914995114E-2</v>
          </cell>
          <cell r="DG50">
            <v>1.6346153846153788E-2</v>
          </cell>
          <cell r="EV50">
            <v>36861</v>
          </cell>
          <cell r="EW50">
            <v>17.929970593974794</v>
          </cell>
          <cell r="EX50">
            <v>17.76394195263796</v>
          </cell>
          <cell r="EY50">
            <v>5.3685891055823554E-3</v>
          </cell>
          <cell r="EZ50">
            <v>1.9794306123918748E-2</v>
          </cell>
        </row>
        <row r="51">
          <cell r="A51">
            <v>43525</v>
          </cell>
          <cell r="AF51">
            <v>33.4</v>
          </cell>
          <cell r="AG51">
            <v>3.5017043693833072E-2</v>
          </cell>
          <cell r="AH51">
            <v>1.5815085158150666E-2</v>
          </cell>
          <cell r="BP51">
            <v>43525</v>
          </cell>
          <cell r="BQ51">
            <v>33.4</v>
          </cell>
          <cell r="BR51">
            <v>38.44</v>
          </cell>
          <cell r="BS51">
            <v>32.04</v>
          </cell>
          <cell r="DB51">
            <v>41334</v>
          </cell>
          <cell r="DE51">
            <v>1.6236867239732389E-2</v>
          </cell>
          <cell r="DF51">
            <v>1.7110266159695575E-2</v>
          </cell>
          <cell r="DG51">
            <v>1.5311004784688942E-2</v>
          </cell>
          <cell r="EV51">
            <v>36951</v>
          </cell>
          <cell r="EW51">
            <v>17.99637904213418</v>
          </cell>
          <cell r="EX51">
            <v>17.902612539529443</v>
          </cell>
          <cell r="EY51">
            <v>6.1295602203235156E-3</v>
          </cell>
          <cell r="EZ51">
            <v>2.3499668044419941E-2</v>
          </cell>
        </row>
        <row r="52">
          <cell r="A52">
            <v>43617</v>
          </cell>
          <cell r="DB52">
            <v>41426</v>
          </cell>
          <cell r="DE52">
            <v>1.6129032258064502E-2</v>
          </cell>
          <cell r="DF52">
            <v>1.7045454545454586E-2</v>
          </cell>
          <cell r="DG52">
            <v>1.4218009478673022E-2</v>
          </cell>
          <cell r="EV52">
            <v>37043</v>
          </cell>
          <cell r="EW52">
            <v>18.133361552487628</v>
          </cell>
          <cell r="EX52">
            <v>18.051323704761693</v>
          </cell>
          <cell r="EY52">
            <v>1.1652130008613426E-2</v>
          </cell>
          <cell r="EZ52">
            <v>2.7013398955520351E-2</v>
          </cell>
        </row>
        <row r="53">
          <cell r="DB53">
            <v>41518</v>
          </cell>
          <cell r="DE53">
            <v>1.6083254493850507E-2</v>
          </cell>
          <cell r="DF53">
            <v>1.6965127238454336E-2</v>
          </cell>
          <cell r="DG53">
            <v>1.6113744075829439E-2</v>
          </cell>
          <cell r="EV53">
            <v>37135</v>
          </cell>
          <cell r="EW53">
            <v>18.372745490981963</v>
          </cell>
          <cell r="EX53">
            <v>18.205122417277742</v>
          </cell>
          <cell r="EY53">
            <v>2.5933127692691516E-2</v>
          </cell>
          <cell r="EZ53">
            <v>3.132866153380176E-2</v>
          </cell>
        </row>
        <row r="54">
          <cell r="DB54">
            <v>41609</v>
          </cell>
          <cell r="DE54">
            <v>1.6981132075471583E-2</v>
          </cell>
          <cell r="DF54">
            <v>1.5947467166979257E-2</v>
          </cell>
          <cell r="DG54">
            <v>1.5137180700094621E-2</v>
          </cell>
          <cell r="EV54">
            <v>37226</v>
          </cell>
          <cell r="EW54">
            <v>18.528665098039216</v>
          </cell>
          <cell r="EX54">
            <v>18.357304877058596</v>
          </cell>
          <cell r="EY54">
            <v>3.3390713103880199E-2</v>
          </cell>
          <cell r="EZ54">
            <v>3.3402660625814651E-2</v>
          </cell>
        </row>
        <row r="55">
          <cell r="DB55">
            <v>41699</v>
          </cell>
          <cell r="DE55">
            <v>1.4097744360902276E-2</v>
          </cell>
          <cell r="DF55">
            <v>1.588785046728991E-2</v>
          </cell>
          <cell r="DG55">
            <v>1.1310084825636224E-2</v>
          </cell>
          <cell r="EV55">
            <v>37316</v>
          </cell>
          <cell r="EW55">
            <v>18.682605512038741</v>
          </cell>
          <cell r="EX55">
            <v>18.523018967178061</v>
          </cell>
          <cell r="EY55">
            <v>3.8131363442497346E-2</v>
          </cell>
          <cell r="EZ55">
            <v>3.4654519069702516E-2</v>
          </cell>
        </row>
        <row r="56">
          <cell r="DB56">
            <v>41791</v>
          </cell>
          <cell r="DE56">
            <v>1.1204481792717047E-2</v>
          </cell>
          <cell r="DF56">
            <v>1.6759776536312998E-2</v>
          </cell>
          <cell r="DG56">
            <v>6.5420560747664336E-3</v>
          </cell>
          <cell r="EV56">
            <v>37408</v>
          </cell>
          <cell r="EW56">
            <v>18.812353462832707</v>
          </cell>
          <cell r="EX56">
            <v>18.631963067543339</v>
          </cell>
          <cell r="EY56">
            <v>3.7444348549479534E-2</v>
          </cell>
          <cell r="EZ56">
            <v>3.2166026839820061E-2</v>
          </cell>
        </row>
        <row r="57">
          <cell r="DB57">
            <v>41883</v>
          </cell>
          <cell r="DE57">
            <v>1.1173184357541999E-2</v>
          </cell>
          <cell r="DF57">
            <v>1.5755329008340979E-2</v>
          </cell>
          <cell r="DG57">
            <v>6.5298507462685507E-3</v>
          </cell>
          <cell r="DM57">
            <v>37408</v>
          </cell>
          <cell r="DP57">
            <v>2.8945931185144769E-2</v>
          </cell>
          <cell r="DQ57">
            <v>2.3510114816839733E-2</v>
          </cell>
          <cell r="DR57">
            <v>3.7538875227876245E-2</v>
          </cell>
          <cell r="DS57">
            <v>3.2015838230747606E-2</v>
          </cell>
          <cell r="EV57">
            <v>37500</v>
          </cell>
          <cell r="EW57">
            <v>18.884609799484494</v>
          </cell>
          <cell r="EX57">
            <v>18.772676671739926</v>
          </cell>
          <cell r="EY57">
            <v>2.785997926949868E-2</v>
          </cell>
          <cell r="EZ57">
            <v>3.1175525297404194E-2</v>
          </cell>
        </row>
        <row r="58">
          <cell r="DB58">
            <v>41974</v>
          </cell>
          <cell r="DE58">
            <v>9.27643784786647E-3</v>
          </cell>
          <cell r="DF58">
            <v>1.7543859649122862E-2</v>
          </cell>
          <cell r="DG58">
            <v>6.5237651444547406E-3</v>
          </cell>
          <cell r="DM58">
            <v>37500</v>
          </cell>
          <cell r="DP58">
            <v>1.540913921360243E-2</v>
          </cell>
          <cell r="DQ58">
            <v>3.0827474310438197E-2</v>
          </cell>
          <cell r="DR58">
            <v>2.840060981554271E-2</v>
          </cell>
          <cell r="DS58">
            <v>3.1050100785261936E-2</v>
          </cell>
          <cell r="EV58">
            <v>37591</v>
          </cell>
          <cell r="EW58">
            <v>19.065011430251467</v>
          </cell>
          <cell r="EX58">
            <v>18.939073470988799</v>
          </cell>
          <cell r="EY58">
            <v>2.8946841522275113E-2</v>
          </cell>
          <cell r="EZ58">
            <v>3.1691394669663531E-2</v>
          </cell>
        </row>
        <row r="59">
          <cell r="DB59">
            <v>42064</v>
          </cell>
          <cell r="DE59">
            <v>1.0194624652456019E-2</v>
          </cell>
          <cell r="DF59">
            <v>1.6559337626494752E-2</v>
          </cell>
          <cell r="DG59">
            <v>6.5237651444547406E-3</v>
          </cell>
          <cell r="DM59">
            <v>37591</v>
          </cell>
          <cell r="DP59">
            <v>3.8069705093833894E-2</v>
          </cell>
          <cell r="DQ59">
            <v>3.6157582298974589E-2</v>
          </cell>
          <cell r="DR59">
            <v>2.917195305732867E-2</v>
          </cell>
          <cell r="DS59">
            <v>3.1721400366620411E-2</v>
          </cell>
          <cell r="EV59">
            <v>37681</v>
          </cell>
          <cell r="EW59">
            <v>19.198040392396866</v>
          </cell>
          <cell r="EX59">
            <v>19.048588032836218</v>
          </cell>
          <cell r="EY59">
            <v>2.7589025525694977E-2</v>
          </cell>
          <cell r="EZ59">
            <v>2.8373834016444111E-2</v>
          </cell>
        </row>
        <row r="60">
          <cell r="DB60">
            <v>42156</v>
          </cell>
          <cell r="DE60">
            <v>9.2336103416434945E-3</v>
          </cell>
          <cell r="DF60">
            <v>1.6483516483516425E-2</v>
          </cell>
          <cell r="DG60">
            <v>4.6425255338904403E-3</v>
          </cell>
          <cell r="DM60">
            <v>37681</v>
          </cell>
          <cell r="DP60">
            <v>2.7983104540654669E-2</v>
          </cell>
          <cell r="DQ60">
            <v>2.3441662226957982E-2</v>
          </cell>
          <cell r="DR60">
            <v>2.7570266034777635E-2</v>
          </cell>
          <cell r="DS60">
            <v>2.8470304020777881E-2</v>
          </cell>
          <cell r="EV60">
            <v>37773</v>
          </cell>
          <cell r="EW60">
            <v>19.349715735563596</v>
          </cell>
          <cell r="EX60">
            <v>19.222785757218553</v>
          </cell>
          <cell r="EY60">
            <v>2.8564330018173711E-2</v>
          </cell>
          <cell r="EZ60">
            <v>3.1710168570719288E-2</v>
          </cell>
        </row>
        <row r="61">
          <cell r="DB61">
            <v>42248</v>
          </cell>
          <cell r="DE61">
            <v>9.208103130755152E-3</v>
          </cell>
          <cell r="DF61">
            <v>1.642335766423364E-2</v>
          </cell>
          <cell r="DG61">
            <v>6.4874884151993051E-3</v>
          </cell>
          <cell r="DM61">
            <v>37773</v>
          </cell>
          <cell r="DP61">
            <v>3.2377919320594417E-2</v>
          </cell>
          <cell r="DQ61">
            <v>3.7393162393162482E-2</v>
          </cell>
          <cell r="DR61">
            <v>2.8426046297205465E-2</v>
          </cell>
          <cell r="DS61">
            <v>3.1940285388720735E-2</v>
          </cell>
          <cell r="EV61">
            <v>37865</v>
          </cell>
          <cell r="EW61">
            <v>19.50179546863486</v>
          </cell>
          <cell r="EX61">
            <v>19.370249586544595</v>
          </cell>
          <cell r="EY61">
            <v>3.2681939193004439E-2</v>
          </cell>
          <cell r="EZ61">
            <v>3.1832057050460216E-2</v>
          </cell>
        </row>
        <row r="62">
          <cell r="DB62">
            <v>42339</v>
          </cell>
          <cell r="DE62">
            <v>1.2867647058823595E-2</v>
          </cell>
          <cell r="DF62">
            <v>1.5426497277676976E-2</v>
          </cell>
          <cell r="DG62">
            <v>1.388888888888884E-2</v>
          </cell>
          <cell r="DM62">
            <v>37865</v>
          </cell>
          <cell r="DP62">
            <v>3.2443746729461154E-2</v>
          </cell>
          <cell r="DQ62">
            <v>3.0954879328436435E-2</v>
          </cell>
          <cell r="DR62">
            <v>3.2712419144792504E-2</v>
          </cell>
          <cell r="DS62">
            <v>3.1972169549931762E-2</v>
          </cell>
          <cell r="EV62">
            <v>37956</v>
          </cell>
          <cell r="EW62">
            <v>19.757763721927127</v>
          </cell>
          <cell r="EX62">
            <v>19.531362104459721</v>
          </cell>
          <cell r="EY62">
            <v>3.6336316619062448E-2</v>
          </cell>
          <cell r="EZ62">
            <v>3.1273369015553998E-2</v>
          </cell>
        </row>
        <row r="63">
          <cell r="DB63">
            <v>42430</v>
          </cell>
          <cell r="DE63">
            <v>1.5596330275229553E-2</v>
          </cell>
          <cell r="DF63">
            <v>1.6289592760180938E-2</v>
          </cell>
          <cell r="DG63">
            <v>1.7592592592592604E-2</v>
          </cell>
          <cell r="DM63">
            <v>37956</v>
          </cell>
          <cell r="DP63">
            <v>5.2685950413223104E-2</v>
          </cell>
          <cell r="DQ63">
            <v>3.3333333333333437E-2</v>
          </cell>
          <cell r="DR63">
            <v>3.632858451171761E-2</v>
          </cell>
          <cell r="DS63">
            <v>3.126823942654644E-2</v>
          </cell>
          <cell r="EV63">
            <v>38047</v>
          </cell>
          <cell r="EW63">
            <v>19.917560846439017</v>
          </cell>
          <cell r="EX63">
            <v>19.695104747182143</v>
          </cell>
          <cell r="EY63">
            <v>3.7478848847880775E-2</v>
          </cell>
          <cell r="EZ63">
            <v>3.3940400896457446E-2</v>
          </cell>
        </row>
        <row r="64">
          <cell r="DB64">
            <v>42522</v>
          </cell>
          <cell r="DE64">
            <v>1.4638609332113584E-2</v>
          </cell>
          <cell r="DF64">
            <v>1.5315315315315381E-2</v>
          </cell>
          <cell r="DG64">
            <v>1.6635859519408491E-2</v>
          </cell>
          <cell r="DM64">
            <v>38047</v>
          </cell>
          <cell r="DP64">
            <v>3.2357473035439233E-2</v>
          </cell>
          <cell r="DQ64">
            <v>3.3836543466944313E-2</v>
          </cell>
          <cell r="DR64">
            <v>3.74292998536776E-2</v>
          </cell>
          <cell r="DS64">
            <v>3.3876917954344998E-2</v>
          </cell>
          <cell r="EV64">
            <v>38139</v>
          </cell>
          <cell r="EW64">
            <v>20.152191823143731</v>
          </cell>
          <cell r="EX64">
            <v>19.913244162860934</v>
          </cell>
          <cell r="EY64">
            <v>4.1472241688038425E-2</v>
          </cell>
          <cell r="EZ64">
            <v>3.5918748425061153E-2</v>
          </cell>
        </row>
        <row r="65">
          <cell r="DB65">
            <v>42614</v>
          </cell>
          <cell r="DE65">
            <v>1.8248175182481674E-2</v>
          </cell>
          <cell r="DF65">
            <v>1.6157989228007263E-2</v>
          </cell>
          <cell r="DG65">
            <v>2.1178637200736539E-2</v>
          </cell>
          <cell r="DM65">
            <v>38139</v>
          </cell>
          <cell r="DP65">
            <v>4.7814910025707036E-2</v>
          </cell>
          <cell r="DQ65">
            <v>4.5314109165808469E-2</v>
          </cell>
          <cell r="DR65">
            <v>4.128587249880411E-2</v>
          </cell>
          <cell r="DS65">
            <v>3.5844816902946608E-2</v>
          </cell>
          <cell r="EV65">
            <v>38231</v>
          </cell>
          <cell r="EW65">
            <v>20.39892180235686</v>
          </cell>
          <cell r="EX65">
            <v>20.081296983806425</v>
          </cell>
          <cell r="EY65">
            <v>4.6002242981415087E-2</v>
          </cell>
          <cell r="EZ65">
            <v>3.6708220721934026E-2</v>
          </cell>
        </row>
        <row r="66">
          <cell r="DB66">
            <v>42705</v>
          </cell>
          <cell r="DE66">
            <v>1.6333938294010864E-2</v>
          </cell>
          <cell r="DF66">
            <v>1.6085790884718509E-2</v>
          </cell>
          <cell r="DG66">
            <v>1.8264840182648401E-2</v>
          </cell>
          <cell r="DM66">
            <v>38231</v>
          </cell>
          <cell r="DP66">
            <v>5.0684237202230031E-2</v>
          </cell>
          <cell r="DQ66">
            <v>3.5114503816793929E-2</v>
          </cell>
          <cell r="DR66">
            <v>4.5854888863185783E-2</v>
          </cell>
          <cell r="DS66">
            <v>3.6888078264352364E-2</v>
          </cell>
          <cell r="EV66">
            <v>38322</v>
          </cell>
          <cell r="EW66">
            <v>20.519843691391269</v>
          </cell>
          <cell r="EX66">
            <v>20.19192661297776</v>
          </cell>
          <cell r="EY66">
            <v>3.8571165248746597E-2</v>
          </cell>
          <cell r="EZ66">
            <v>3.3820708713766967E-2</v>
          </cell>
        </row>
        <row r="67">
          <cell r="DB67">
            <v>42795</v>
          </cell>
          <cell r="DE67">
            <v>1.4453477868112019E-2</v>
          </cell>
          <cell r="DF67">
            <v>1.6028495102404339E-2</v>
          </cell>
          <cell r="DG67">
            <v>1.5468607825295688E-2</v>
          </cell>
          <cell r="DM67">
            <v>38322</v>
          </cell>
          <cell r="DP67">
            <v>2.3552502453385804E-2</v>
          </cell>
          <cell r="DQ67">
            <v>2.2177419354838745E-2</v>
          </cell>
          <cell r="DR67">
            <v>3.8542455855410385E-2</v>
          </cell>
          <cell r="DS67">
            <v>3.4078103515235991E-2</v>
          </cell>
          <cell r="EV67">
            <v>38412</v>
          </cell>
          <cell r="EW67">
            <v>20.787336583513433</v>
          </cell>
          <cell r="EX67">
            <v>20.375019640685647</v>
          </cell>
          <cell r="EY67">
            <v>4.3668787748672555E-2</v>
          </cell>
          <cell r="EZ67">
            <v>3.4522024748346869E-2</v>
          </cell>
        </row>
        <row r="68">
          <cell r="DB68">
            <v>42887</v>
          </cell>
          <cell r="DE68">
            <v>1.5329125338142457E-2</v>
          </cell>
          <cell r="DF68">
            <v>1.685891748003554E-2</v>
          </cell>
          <cell r="DG68">
            <v>1.7272727272727328E-2</v>
          </cell>
          <cell r="DM68">
            <v>38412</v>
          </cell>
          <cell r="DP68">
            <v>5.3233830845771157E-2</v>
          </cell>
          <cell r="DQ68">
            <v>3.6757301107754214E-2</v>
          </cell>
          <cell r="DR68">
            <v>4.3753461934363358E-2</v>
          </cell>
          <cell r="DS68">
            <v>3.4807691039801858E-2</v>
          </cell>
          <cell r="EV68">
            <v>38504</v>
          </cell>
          <cell r="EW68">
            <v>21.1013913303869</v>
          </cell>
          <cell r="EX68">
            <v>20.553721114781368</v>
          </cell>
          <cell r="EY68">
            <v>4.7101551810015074E-2</v>
          </cell>
          <cell r="EZ68">
            <v>3.2163365581332704E-2</v>
          </cell>
        </row>
        <row r="69">
          <cell r="DB69">
            <v>42979</v>
          </cell>
          <cell r="DE69">
            <v>3.2258064516129004E-2</v>
          </cell>
          <cell r="DF69">
            <v>1.8551236749116518E-2</v>
          </cell>
          <cell r="DG69">
            <v>9.0171325518484391E-3</v>
          </cell>
          <cell r="DM69">
            <v>38504</v>
          </cell>
          <cell r="DP69">
            <v>6.084396467124642E-2</v>
          </cell>
          <cell r="DQ69">
            <v>3.4975369458128069E-2</v>
          </cell>
          <cell r="DR69">
            <v>4.6983079343535517E-2</v>
          </cell>
          <cell r="DS69">
            <v>3.2239439431233086E-2</v>
          </cell>
          <cell r="EV69">
            <v>38596</v>
          </cell>
          <cell r="EW69">
            <v>21.391001944193434</v>
          </cell>
          <cell r="EX69">
            <v>20.769007432125292</v>
          </cell>
          <cell r="EY69">
            <v>4.863394994346959E-2</v>
          </cell>
          <cell r="EZ69">
            <v>3.4246316304840096E-2</v>
          </cell>
        </row>
        <row r="70">
          <cell r="DB70">
            <v>43070</v>
          </cell>
          <cell r="DE70">
            <v>3.5714285714285809E-2</v>
          </cell>
          <cell r="DF70">
            <v>1.846965699208436E-2</v>
          </cell>
          <cell r="DG70">
            <v>8.9686098654708779E-3</v>
          </cell>
          <cell r="DM70">
            <v>38596</v>
          </cell>
          <cell r="DP70">
            <v>5.5957549445248445E-2</v>
          </cell>
          <cell r="DQ70">
            <v>4.2772861356932257E-2</v>
          </cell>
          <cell r="DR70">
            <v>4.8294298169709204E-2</v>
          </cell>
          <cell r="DS70">
            <v>3.4143436529700866E-2</v>
          </cell>
          <cell r="EV70">
            <v>38687</v>
          </cell>
          <cell r="EW70">
            <v>21.731693404247228</v>
          </cell>
          <cell r="EX70">
            <v>21.049622027026196</v>
          </cell>
          <cell r="EY70">
            <v>5.9057453413466687E-2</v>
          </cell>
          <cell r="EZ70">
            <v>4.2477145964723295E-2</v>
          </cell>
        </row>
        <row r="71">
          <cell r="DB71">
            <v>43160</v>
          </cell>
          <cell r="DE71">
            <v>3.5618878005342802E-2</v>
          </cell>
          <cell r="DF71">
            <v>1.8404907975460238E-2</v>
          </cell>
          <cell r="DG71">
            <v>9.8566308243728251E-3</v>
          </cell>
          <cell r="DM71">
            <v>38687</v>
          </cell>
          <cell r="DP71">
            <v>6.5196548418024802E-2</v>
          </cell>
          <cell r="DQ71">
            <v>5.4733727810650779E-2</v>
          </cell>
          <cell r="DR71">
            <v>5.8798043535532196E-2</v>
          </cell>
          <cell r="DS71">
            <v>4.2281232126077928E-2</v>
          </cell>
          <cell r="EV71">
            <v>38777</v>
          </cell>
          <cell r="EW71">
            <v>22.095132779165297</v>
          </cell>
          <cell r="EX71">
            <v>21.325851955835606</v>
          </cell>
          <cell r="EY71">
            <v>6.2913119744695267E-2</v>
          </cell>
          <cell r="EZ71">
            <v>4.6666571709766513E-2</v>
          </cell>
        </row>
        <row r="72">
          <cell r="DB72">
            <v>43252</v>
          </cell>
          <cell r="DE72">
            <v>3.4635879218472443E-2</v>
          </cell>
          <cell r="DF72">
            <v>1.919720767888311E-2</v>
          </cell>
          <cell r="DG72">
            <v>8.936550491510209E-3</v>
          </cell>
          <cell r="DM72">
            <v>38777</v>
          </cell>
          <cell r="DP72">
            <v>6.9437883797827116E-2</v>
          </cell>
          <cell r="DQ72">
            <v>5.2938319572608084E-2</v>
          </cell>
          <cell r="DR72">
            <v>6.2847171489589293E-2</v>
          </cell>
          <cell r="DS72">
            <v>4.6324452591113729E-2</v>
          </cell>
          <cell r="EV72">
            <v>38869</v>
          </cell>
          <cell r="EW72">
            <v>22.315461279893807</v>
          </cell>
          <cell r="EX72">
            <v>21.560726536614165</v>
          </cell>
          <cell r="EY72">
            <v>5.7535066313783467E-2</v>
          </cell>
          <cell r="EZ72">
            <v>4.8993825313149886E-2</v>
          </cell>
        </row>
        <row r="73">
          <cell r="DB73">
            <v>43344</v>
          </cell>
          <cell r="DE73">
            <v>2.517361111111116E-2</v>
          </cell>
          <cell r="DF73">
            <v>1.8213356461404873E-2</v>
          </cell>
          <cell r="DG73">
            <v>1.9660411081322549E-2</v>
          </cell>
          <cell r="DM73">
            <v>38869</v>
          </cell>
          <cell r="DP73">
            <v>4.0703052728954692E-2</v>
          </cell>
          <cell r="DQ73">
            <v>4.474059971442168E-2</v>
          </cell>
          <cell r="DR73">
            <v>5.7766115589586997E-2</v>
          </cell>
          <cell r="DS73">
            <v>4.8783845629521094E-2</v>
          </cell>
          <cell r="EV73">
            <v>38961</v>
          </cell>
          <cell r="EW73">
            <v>22.665998009992602</v>
          </cell>
          <cell r="EX73">
            <v>21.830283115840881</v>
          </cell>
          <cell r="EY73">
            <v>5.9604317232333504E-2</v>
          </cell>
          <cell r="EZ73">
            <v>5.109900832689851E-2</v>
          </cell>
        </row>
        <row r="74">
          <cell r="DB74">
            <v>43435</v>
          </cell>
          <cell r="DE74">
            <v>2.7586206896551557E-2</v>
          </cell>
          <cell r="DF74">
            <v>1.8998272884283463E-2</v>
          </cell>
          <cell r="DG74">
            <v>2.7555555555555555E-2</v>
          </cell>
          <cell r="DM74">
            <v>38961</v>
          </cell>
          <cell r="DP74">
            <v>6.3956144358154443E-2</v>
          </cell>
          <cell r="DQ74">
            <v>5.1390853371051426E-2</v>
          </cell>
          <cell r="DR74">
            <v>5.9763524399984336E-2</v>
          </cell>
          <cell r="DS74">
            <v>5.0944079584811064E-2</v>
          </cell>
          <cell r="EV74">
            <v>39052</v>
          </cell>
          <cell r="EW74">
            <v>22.950267768664741</v>
          </cell>
          <cell r="EX74">
            <v>22.100094486956888</v>
          </cell>
          <cell r="EY74">
            <v>5.6073603733952648E-2</v>
          </cell>
          <cell r="EZ74">
            <v>4.9904575891289715E-2</v>
          </cell>
        </row>
        <row r="75">
          <cell r="DM75">
            <v>39052</v>
          </cell>
          <cell r="DP75">
            <v>5.0855085508551001E-2</v>
          </cell>
          <cell r="DQ75">
            <v>5.0490883590462721E-2</v>
          </cell>
          <cell r="DR75">
            <v>5.6178293277137303E-2</v>
          </cell>
          <cell r="DS75">
            <v>4.9885581568595017E-2</v>
          </cell>
          <cell r="EV75">
            <v>39142</v>
          </cell>
          <cell r="EW75">
            <v>23.256207804096579</v>
          </cell>
          <cell r="EX75">
            <v>22.355160634379835</v>
          </cell>
          <cell r="EY75">
            <v>5.2548904617858883E-2</v>
          </cell>
          <cell r="EZ75">
            <v>4.8265770609111414E-2</v>
          </cell>
        </row>
        <row r="76">
          <cell r="DM76">
            <v>39142</v>
          </cell>
          <cell r="DP76">
            <v>5.3886925795052942E-2</v>
          </cell>
          <cell r="DQ76">
            <v>4.7047970479704881E-2</v>
          </cell>
          <cell r="DR76">
            <v>5.2317640258017217E-2</v>
          </cell>
          <cell r="DS76">
            <v>4.8414173337856914E-2</v>
          </cell>
          <cell r="EV76">
            <v>39234</v>
          </cell>
          <cell r="EW76">
            <v>23.641323991652555</v>
          </cell>
          <cell r="EX76">
            <v>22.588947164739483</v>
          </cell>
          <cell r="EY76">
            <v>5.941453305082911E-2</v>
          </cell>
          <cell r="EZ76">
            <v>4.7689516695052392E-2</v>
          </cell>
        </row>
        <row r="77">
          <cell r="DM77">
            <v>39234</v>
          </cell>
          <cell r="DP77">
            <v>6.9333333333333247E-2</v>
          </cell>
          <cell r="DQ77">
            <v>4.2824601366742598E-2</v>
          </cell>
          <cell r="DR77">
            <v>5.9481602480188078E-2</v>
          </cell>
          <cell r="DS77">
            <v>4.793315853179303E-2</v>
          </cell>
          <cell r="EV77">
            <v>39326</v>
          </cell>
          <cell r="EW77">
            <v>23.906648781716235</v>
          </cell>
          <cell r="EX77">
            <v>22.809047079250544</v>
          </cell>
          <cell r="EY77">
            <v>5.4736207564152872E-2</v>
          </cell>
          <cell r="EZ77">
            <v>4.4835147497442884E-2</v>
          </cell>
        </row>
        <row r="78">
          <cell r="DM78">
            <v>39326</v>
          </cell>
          <cell r="DP78">
            <v>4.5942464577071629E-2</v>
          </cell>
          <cell r="DQ78">
            <v>3.9910313901345251E-2</v>
          </cell>
          <cell r="DR78">
            <v>5.4968365193583724E-2</v>
          </cell>
          <cell r="DS78">
            <v>4.5060673572120402E-2</v>
          </cell>
          <cell r="EV78">
            <v>39417</v>
          </cell>
          <cell r="EW78">
            <v>24.269810642992763</v>
          </cell>
          <cell r="EX78">
            <v>23.046179752565322</v>
          </cell>
          <cell r="EY78">
            <v>5.7495750708828952E-2</v>
          </cell>
          <cell r="EZ78">
            <v>4.2809105009338211E-2</v>
          </cell>
        </row>
        <row r="79">
          <cell r="DM79">
            <v>39417</v>
          </cell>
          <cell r="DP79">
            <v>6.2098501070663836E-2</v>
          </cell>
          <cell r="DQ79">
            <v>4.1388518024032095E-2</v>
          </cell>
          <cell r="DR79">
            <v>5.7778969577783279E-2</v>
          </cell>
          <cell r="DS79">
            <v>4.2789451875381079E-2</v>
          </cell>
          <cell r="EV79">
            <v>39508</v>
          </cell>
          <cell r="EW79">
            <v>24.649854073918842</v>
          </cell>
          <cell r="EX79">
            <v>23.30928662269806</v>
          </cell>
          <cell r="EY79">
            <v>5.9925774724835845E-2</v>
          </cell>
          <cell r="EZ79">
            <v>4.2680345890732774E-2</v>
          </cell>
        </row>
        <row r="80">
          <cell r="DM80">
            <v>39508</v>
          </cell>
          <cell r="DP80">
            <v>6.2866722548197806E-2</v>
          </cell>
          <cell r="DQ80">
            <v>4.6255506607929542E-2</v>
          </cell>
          <cell r="DR80">
            <v>6.0025045377239516E-2</v>
          </cell>
          <cell r="DS80">
            <v>4.2592085652630729E-2</v>
          </cell>
          <cell r="EV80">
            <v>39600</v>
          </cell>
          <cell r="EW80">
            <v>25.03808181960499</v>
          </cell>
          <cell r="EX80">
            <v>23.612735224005057</v>
          </cell>
          <cell r="EY80">
            <v>5.908120156238339E-2</v>
          </cell>
          <cell r="EZ80">
            <v>4.5322522196327375E-2</v>
          </cell>
        </row>
        <row r="81">
          <cell r="DM81">
            <v>39600</v>
          </cell>
          <cell r="DP81">
            <v>6.4006650041562807E-2</v>
          </cell>
          <cell r="DQ81">
            <v>5.2861511577107834E-2</v>
          </cell>
          <cell r="DR81">
            <v>5.8702493339611195E-2</v>
          </cell>
          <cell r="DS81">
            <v>4.5091749757096622E-2</v>
          </cell>
          <cell r="EV81">
            <v>39692</v>
          </cell>
          <cell r="EW81">
            <v>25.473736778498019</v>
          </cell>
          <cell r="EX81">
            <v>23.930183890188946</v>
          </cell>
          <cell r="EY81">
            <v>6.5550299880604346E-2</v>
          </cell>
          <cell r="EZ81">
            <v>4.9153163086690377E-2</v>
          </cell>
        </row>
        <row r="82">
          <cell r="DM82">
            <v>39692</v>
          </cell>
          <cell r="DP82">
            <v>7.101806239737285E-2</v>
          </cell>
          <cell r="DQ82">
            <v>5.5627425614488857E-2</v>
          </cell>
          <cell r="DR82">
            <v>6.4991608513503385E-2</v>
          </cell>
          <cell r="DS82">
            <v>4.901841992298861E-2</v>
          </cell>
          <cell r="EV82">
            <v>39783</v>
          </cell>
          <cell r="EW82">
            <v>25.897159937260163</v>
          </cell>
          <cell r="EX82">
            <v>24.258237926339785</v>
          </cell>
          <cell r="EY82">
            <v>6.7052410016938069E-2</v>
          </cell>
          <cell r="EZ82">
            <v>5.2592585269562786E-2</v>
          </cell>
        </row>
        <row r="83">
          <cell r="DM83">
            <v>39783</v>
          </cell>
          <cell r="DP83">
            <v>6.8951612903225934E-2</v>
          </cell>
          <cell r="DQ83">
            <v>5.5982905982906006E-2</v>
          </cell>
          <cell r="DR83">
            <v>6.6705412096979222E-2</v>
          </cell>
          <cell r="DS83">
            <v>5.2674590086278172E-2</v>
          </cell>
          <cell r="EV83">
            <v>39873</v>
          </cell>
          <cell r="EW83">
            <v>26.22035459023342</v>
          </cell>
          <cell r="EX83">
            <v>24.57906028791561</v>
          </cell>
          <cell r="EY83">
            <v>6.3712365663708637E-2</v>
          </cell>
          <cell r="EZ83">
            <v>5.4475011859911326E-2</v>
          </cell>
        </row>
        <row r="84">
          <cell r="DM84">
            <v>39873</v>
          </cell>
          <cell r="DP84">
            <v>5.1261829652996971E-2</v>
          </cell>
          <cell r="DQ84">
            <v>5.3894736842105218E-2</v>
          </cell>
          <cell r="DR84">
            <v>6.3781712438713001E-2</v>
          </cell>
          <cell r="DS84">
            <v>5.4590875917572834E-2</v>
          </cell>
          <cell r="EV84">
            <v>39965</v>
          </cell>
          <cell r="EW84">
            <v>26.542539894069755</v>
          </cell>
          <cell r="EX84">
            <v>24.856890662012219</v>
          </cell>
          <cell r="EY84">
            <v>6.0086794399991206E-2</v>
          </cell>
          <cell r="EZ84">
            <v>5.2690017746962914E-2</v>
          </cell>
        </row>
        <row r="85">
          <cell r="DM85">
            <v>39965</v>
          </cell>
          <cell r="DP85">
            <v>5.1171874999999867E-2</v>
          </cell>
          <cell r="DQ85">
            <v>4.6058091286307112E-2</v>
          </cell>
          <cell r="DR85">
            <v>6.0559082573029555E-2</v>
          </cell>
          <cell r="DS85">
            <v>5.2883083233057127E-2</v>
          </cell>
          <cell r="EV85">
            <v>40057</v>
          </cell>
          <cell r="EW85">
            <v>26.691700064453286</v>
          </cell>
          <cell r="EX85">
            <v>25.094043009420616</v>
          </cell>
          <cell r="EY85">
            <v>4.7812509666164571E-2</v>
          </cell>
          <cell r="EZ85">
            <v>4.8635611183449168E-2</v>
          </cell>
        </row>
        <row r="86">
          <cell r="DM86">
            <v>40057</v>
          </cell>
          <cell r="DP86">
            <v>2.2997316979685767E-2</v>
          </cell>
          <cell r="DQ86">
            <v>3.8807189542483522E-2</v>
          </cell>
          <cell r="DR86">
            <v>4.8465857305000748E-2</v>
          </cell>
          <cell r="DS86">
            <v>4.8663659939445214E-2</v>
          </cell>
          <cell r="EV86">
            <v>40148</v>
          </cell>
          <cell r="EW86">
            <v>26.859016630513377</v>
          </cell>
          <cell r="EX86">
            <v>25.265754852208609</v>
          </cell>
          <cell r="EY86">
            <v>3.7141396801172677E-2</v>
          </cell>
          <cell r="EZ86">
            <v>4.1532980628195437E-2</v>
          </cell>
        </row>
        <row r="87">
          <cell r="DM87">
            <v>40148</v>
          </cell>
          <cell r="DP87">
            <v>2.5273481705016865E-2</v>
          </cell>
          <cell r="DQ87">
            <v>2.7519222986644998E-2</v>
          </cell>
          <cell r="DR87">
            <v>3.7587454206340354E-2</v>
          </cell>
          <cell r="DS87">
            <v>4.1524487592363712E-2</v>
          </cell>
          <cell r="EV87">
            <v>40238</v>
          </cell>
          <cell r="EW87">
            <v>27.004972600445093</v>
          </cell>
          <cell r="EX87">
            <v>25.333103940045568</v>
          </cell>
          <cell r="EY87">
            <v>2.9924004555755612E-2</v>
          </cell>
          <cell r="EZ87">
            <v>3.0678294584788768E-2</v>
          </cell>
        </row>
        <row r="88">
          <cell r="DM88">
            <v>40238</v>
          </cell>
          <cell r="DP88">
            <v>2.1380345086271513E-2</v>
          </cell>
          <cell r="DQ88">
            <v>1.0787055533360013E-2</v>
          </cell>
          <cell r="DR88">
            <v>3.0134333354027598E-2</v>
          </cell>
          <cell r="DS88">
            <v>3.0706688300104812E-2</v>
          </cell>
          <cell r="EV88">
            <v>40330</v>
          </cell>
          <cell r="EW88">
            <v>27.006283704793152</v>
          </cell>
          <cell r="EX88">
            <v>25.401312356660075</v>
          </cell>
          <cell r="EY88">
            <v>1.7471719457677448E-2</v>
          </cell>
          <cell r="EZ88">
            <v>2.1902244413854799E-2</v>
          </cell>
        </row>
        <row r="89">
          <cell r="DM89">
            <v>40330</v>
          </cell>
          <cell r="DP89">
            <v>3.7160906726119158E-4</v>
          </cell>
          <cell r="DQ89">
            <v>1.1106703689012232E-2</v>
          </cell>
          <cell r="DR89">
            <v>1.7456307281236816E-2</v>
          </cell>
          <cell r="DS89">
            <v>2.1987045684796813E-2</v>
          </cell>
          <cell r="EV89">
            <v>40422</v>
          </cell>
          <cell r="EW89">
            <v>27.122459718729626</v>
          </cell>
          <cell r="EX89">
            <v>25.480741778789316</v>
          </cell>
          <cell r="EY89">
            <v>1.6138337132373337E-2</v>
          </cell>
          <cell r="EZ89">
            <v>1.5409982728710858E-2</v>
          </cell>
        </row>
        <row r="90">
          <cell r="DM90">
            <v>40422</v>
          </cell>
          <cell r="DP90">
            <v>1.7984263769202036E-2</v>
          </cell>
          <cell r="DQ90">
            <v>1.2583562721195429E-2</v>
          </cell>
          <cell r="DR90">
            <v>1.6207535076429913E-2</v>
          </cell>
          <cell r="DS90">
            <v>1.5475319262093112E-2</v>
          </cell>
          <cell r="EV90">
            <v>40513</v>
          </cell>
          <cell r="EW90">
            <v>27.185647720111682</v>
          </cell>
          <cell r="EX90">
            <v>25.598174011548089</v>
          </cell>
          <cell r="EY90">
            <v>1.2160947442403147E-2</v>
          </cell>
          <cell r="EZ90">
            <v>1.3156905910152172E-2</v>
          </cell>
        </row>
        <row r="91">
          <cell r="DM91">
            <v>40513</v>
          </cell>
          <cell r="DP91">
            <v>8.8300220750552327E-3</v>
          </cell>
          <cell r="DQ91">
            <v>1.8511224891689659E-2</v>
          </cell>
          <cell r="DR91">
            <v>1.2108283200708669E-2</v>
          </cell>
          <cell r="DS91">
            <v>1.3242361814829184E-2</v>
          </cell>
          <cell r="EV91">
            <v>40603</v>
          </cell>
          <cell r="EW91">
            <v>27.35041021133209</v>
          </cell>
          <cell r="EX91">
            <v>25.762388240340869</v>
          </cell>
          <cell r="EY91">
            <v>1.2791629749007827E-2</v>
          </cell>
          <cell r="EZ91">
            <v>1.6945586348647401E-2</v>
          </cell>
        </row>
        <row r="92">
          <cell r="DM92">
            <v>40603</v>
          </cell>
          <cell r="DP92">
            <v>2.4237972824091125E-2</v>
          </cell>
          <cell r="DQ92">
            <v>2.6086956521739202E-2</v>
          </cell>
          <cell r="DR92">
            <v>1.2815463242916714E-2</v>
          </cell>
          <cell r="DS92">
            <v>1.7055054325935792E-2</v>
          </cell>
          <cell r="EV92">
            <v>40695</v>
          </cell>
          <cell r="EW92">
            <v>27.633222390871019</v>
          </cell>
          <cell r="EX92">
            <v>25.959235375174725</v>
          </cell>
          <cell r="EY92">
            <v>2.3214548618794018E-2</v>
          </cell>
          <cell r="EZ92">
            <v>2.196433832554967E-2</v>
          </cell>
        </row>
        <row r="93">
          <cell r="DM93">
            <v>40695</v>
          </cell>
          <cell r="DP93">
            <v>4.1976225854383209E-2</v>
          </cell>
          <cell r="DQ93">
            <v>3.0600235386426089E-2</v>
          </cell>
          <cell r="DR93">
            <v>2.3185640115199746E-2</v>
          </cell>
          <cell r="DS93">
            <v>2.1922060036982272E-2</v>
          </cell>
          <cell r="EV93">
            <v>40787</v>
          </cell>
          <cell r="EW93">
            <v>27.78220552983586</v>
          </cell>
          <cell r="EX93">
            <v>26.16469258937941</v>
          </cell>
          <cell r="EY93">
            <v>2.4324704246888151E-2</v>
          </cell>
          <cell r="EZ93">
            <v>2.6841872050971105E-2</v>
          </cell>
        </row>
        <row r="94">
          <cell r="DM94">
            <v>40787</v>
          </cell>
          <cell r="DP94">
            <v>2.1715126978284927E-2</v>
          </cell>
          <cell r="DQ94">
            <v>3.223300970873777E-2</v>
          </cell>
          <cell r="DR94">
            <v>2.4121835929238333E-2</v>
          </cell>
          <cell r="DS94">
            <v>2.684405198820583E-2</v>
          </cell>
          <cell r="EV94">
            <v>40878</v>
          </cell>
          <cell r="EW94">
            <v>27.97812241521919</v>
          </cell>
          <cell r="EX94">
            <v>26.349400695078632</v>
          </cell>
          <cell r="EY94">
            <v>2.9150480550119262E-2</v>
          </cell>
          <cell r="EZ94">
            <v>2.9346885570495918E-2</v>
          </cell>
        </row>
        <row r="95">
          <cell r="DM95">
            <v>40878</v>
          </cell>
          <cell r="DP95">
            <v>2.881108679795763E-2</v>
          </cell>
          <cell r="DQ95">
            <v>2.8228924980665093E-2</v>
          </cell>
          <cell r="DR95">
            <v>2.9155585709931264E-2</v>
          </cell>
          <cell r="DS95">
            <v>2.9284638145861352E-2</v>
          </cell>
          <cell r="EV95">
            <v>40969</v>
          </cell>
          <cell r="EW95">
            <v>28.11559502501262</v>
          </cell>
          <cell r="EX95">
            <v>26.600831900926021</v>
          </cell>
          <cell r="EY95">
            <v>2.7977087281984891E-2</v>
          </cell>
          <cell r="EZ95">
            <v>3.254526143939751E-2</v>
          </cell>
        </row>
        <row r="96">
          <cell r="DM96">
            <v>40969</v>
          </cell>
          <cell r="DP96">
            <v>1.936177841520248E-2</v>
          </cell>
          <cell r="DQ96">
            <v>3.8520801232665658E-2</v>
          </cell>
          <cell r="DR96">
            <v>2.7928491251343779E-2</v>
          </cell>
          <cell r="DS96">
            <v>3.2388716485847846E-2</v>
          </cell>
          <cell r="EV96">
            <v>41061</v>
          </cell>
          <cell r="EW96">
            <v>28.28129316987102</v>
          </cell>
          <cell r="EX96">
            <v>26.783832618534781</v>
          </cell>
          <cell r="EY96">
            <v>2.3452595207068549E-2</v>
          </cell>
          <cell r="EZ96">
            <v>3.176508211596385E-2</v>
          </cell>
        </row>
        <row r="97">
          <cell r="DM97">
            <v>41061</v>
          </cell>
          <cell r="DP97">
            <v>2.3529411764705799E-2</v>
          </cell>
          <cell r="DQ97">
            <v>2.7788351732013661E-2</v>
          </cell>
          <cell r="DR97">
            <v>2.334844233317912E-2</v>
          </cell>
          <cell r="DS97">
            <v>3.1683804011731764E-2</v>
          </cell>
          <cell r="EV97">
            <v>41153</v>
          </cell>
          <cell r="EW97">
            <v>28.398658964775173</v>
          </cell>
          <cell r="EX97">
            <v>26.964254740243177</v>
          </cell>
          <cell r="EY97">
            <v>2.2188786785746428E-2</v>
          </cell>
          <cell r="EZ97">
            <v>3.055882075176064E-2</v>
          </cell>
        </row>
        <row r="98">
          <cell r="DM98">
            <v>41153</v>
          </cell>
          <cell r="DP98">
            <v>1.7291066282420609E-2</v>
          </cell>
          <cell r="DQ98">
            <v>2.7464258841233935E-2</v>
          </cell>
          <cell r="DR98">
            <v>2.2238855747701347E-2</v>
          </cell>
          <cell r="DS98">
            <v>3.049018073001708E-2</v>
          </cell>
          <cell r="EV98">
            <v>41244</v>
          </cell>
          <cell r="EW98">
            <v>28.454430868051819</v>
          </cell>
          <cell r="EX98">
            <v>27.141113344541328</v>
          </cell>
          <cell r="EY98">
            <v>1.7024317992601734E-2</v>
          </cell>
          <cell r="EZ98">
            <v>3.0046704235309862E-2</v>
          </cell>
        </row>
        <row r="99">
          <cell r="DM99">
            <v>41244</v>
          </cell>
          <cell r="DP99">
            <v>7.7986529599431975E-3</v>
          </cell>
          <cell r="DQ99">
            <v>2.6701767581797764E-2</v>
          </cell>
          <cell r="DR99">
            <v>1.6978845490520644E-2</v>
          </cell>
          <cell r="DS99">
            <v>3.0107338464090638E-2</v>
          </cell>
          <cell r="EV99">
            <v>41334</v>
          </cell>
          <cell r="EW99">
            <v>28.437745454221254</v>
          </cell>
          <cell r="EX99">
            <v>27.27964178914949</v>
          </cell>
          <cell r="EY99">
            <v>1.145806905107416E-2</v>
          </cell>
          <cell r="EZ99">
            <v>2.5518370656665068E-2</v>
          </cell>
        </row>
        <row r="100">
          <cell r="DM100">
            <v>41334</v>
          </cell>
          <cell r="DP100">
            <v>-2.110446711220515E-3</v>
          </cell>
          <cell r="DQ100">
            <v>2.0771513353115667E-2</v>
          </cell>
          <cell r="DR100">
            <v>1.1580506580675554E-2</v>
          </cell>
          <cell r="DS100">
            <v>2.5677471551958098E-2</v>
          </cell>
          <cell r="EV100">
            <v>41426</v>
          </cell>
          <cell r="EW100">
            <v>28.387002085297986</v>
          </cell>
          <cell r="EX100">
            <v>27.418059499241057</v>
          </cell>
          <cell r="EY100">
            <v>3.7377680996419915E-3</v>
          </cell>
          <cell r="EZ100">
            <v>2.3679467003067556E-2</v>
          </cell>
        </row>
        <row r="101">
          <cell r="DM101">
            <v>41426</v>
          </cell>
          <cell r="DP101">
            <v>-7.3145245559038674E-3</v>
          </cell>
          <cell r="DQ101">
            <v>2.0370370370370372E-2</v>
          </cell>
          <cell r="DR101">
            <v>3.8718748990655971E-3</v>
          </cell>
          <cell r="DS101">
            <v>2.3821754851560684E-2</v>
          </cell>
          <cell r="EV101">
            <v>41518</v>
          </cell>
          <cell r="EW101">
            <v>28.466302941279334</v>
          </cell>
          <cell r="EX101">
            <v>27.58852980623805</v>
          </cell>
          <cell r="EY101">
            <v>2.3819426328568483E-3</v>
          </cell>
          <cell r="EZ101">
            <v>2.3151949572081554E-2</v>
          </cell>
        </row>
        <row r="102">
          <cell r="DM102">
            <v>41518</v>
          </cell>
          <cell r="DP102">
            <v>1.1331444759206777E-2</v>
          </cell>
          <cell r="DQ102">
            <v>2.4899304284144996E-2</v>
          </cell>
          <cell r="DR102">
            <v>2.3983819763293557E-3</v>
          </cell>
          <cell r="DS102">
            <v>2.318219045432901E-2</v>
          </cell>
          <cell r="EV102">
            <v>41609</v>
          </cell>
          <cell r="EW102">
            <v>28.630080494180781</v>
          </cell>
          <cell r="EX102">
            <v>27.773067602818667</v>
          </cell>
          <cell r="EY102">
            <v>6.1730149143899293E-3</v>
          </cell>
          <cell r="EZ102">
            <v>2.3284021191578796E-2</v>
          </cell>
        </row>
        <row r="103">
          <cell r="DM103">
            <v>41609</v>
          </cell>
          <cell r="DP103">
            <v>2.2863172704889134E-2</v>
          </cell>
          <cell r="DQ103">
            <v>2.6739926739926645E-2</v>
          </cell>
          <cell r="DR103">
            <v>6.1235145634772614E-3</v>
          </cell>
          <cell r="DS103">
            <v>2.31916974085562E-2</v>
          </cell>
          <cell r="EV103">
            <v>41699</v>
          </cell>
          <cell r="EW103">
            <v>28.897919008930653</v>
          </cell>
          <cell r="EX103">
            <v>27.944242639964781</v>
          </cell>
          <cell r="EY103">
            <v>1.6181787527783431E-2</v>
          </cell>
          <cell r="EZ103">
            <v>2.4362521177959007E-2</v>
          </cell>
        </row>
        <row r="104">
          <cell r="DM104">
            <v>41699</v>
          </cell>
          <cell r="DP104">
            <v>3.7363412054987721E-2</v>
          </cell>
          <cell r="DQ104">
            <v>2.4709302325581328E-2</v>
          </cell>
          <cell r="DR104">
            <v>1.5929126766692114E-2</v>
          </cell>
          <cell r="DS104">
            <v>2.4177054417144017E-2</v>
          </cell>
          <cell r="EV104">
            <v>41791</v>
          </cell>
          <cell r="EW104">
            <v>29.043541777418721</v>
          </cell>
          <cell r="EX104">
            <v>28.119835295744956</v>
          </cell>
          <cell r="EY104">
            <v>2.3128179937703441E-2</v>
          </cell>
          <cell r="EZ104">
            <v>2.5595385279666649E-2</v>
          </cell>
        </row>
        <row r="105">
          <cell r="DM105">
            <v>41791</v>
          </cell>
          <cell r="DP105">
            <v>2.0701754385964888E-2</v>
          </cell>
          <cell r="DQ105">
            <v>2.5408348457350183E-2</v>
          </cell>
          <cell r="DR105">
            <v>2.3022558070800114E-2</v>
          </cell>
          <cell r="DS105">
            <v>2.5438913753230263E-2</v>
          </cell>
          <cell r="EV105">
            <v>41883</v>
          </cell>
          <cell r="EW105">
            <v>29.238518266723595</v>
          </cell>
          <cell r="EX105">
            <v>28.285364665683918</v>
          </cell>
          <cell r="EY105">
            <v>2.7127348677388641E-2</v>
          </cell>
          <cell r="EZ105">
            <v>2.5258136781478813E-2</v>
          </cell>
        </row>
        <row r="106">
          <cell r="DM106">
            <v>41883</v>
          </cell>
          <cell r="DP106">
            <v>2.7661064425770432E-2</v>
          </cell>
          <cell r="DQ106">
            <v>2.3937120400143064E-2</v>
          </cell>
          <cell r="DR106">
            <v>2.7127384315636993E-2</v>
          </cell>
          <cell r="DS106">
            <v>2.5198156358811952E-2</v>
          </cell>
          <cell r="EV106">
            <v>41974</v>
          </cell>
          <cell r="EW106">
            <v>29.424779088862458</v>
          </cell>
          <cell r="EX106">
            <v>28.473349078850607</v>
          </cell>
          <cell r="EY106">
            <v>2.7757469799751577E-2</v>
          </cell>
          <cell r="EZ106">
            <v>2.5214408651094367E-2</v>
          </cell>
        </row>
        <row r="107">
          <cell r="DM107">
            <v>41974</v>
          </cell>
          <cell r="DP107">
            <v>2.5447042640990514E-2</v>
          </cell>
          <cell r="DQ107">
            <v>2.7113806635747251E-2</v>
          </cell>
          <cell r="DR107">
            <v>2.7775431204141388E-2</v>
          </cell>
          <cell r="DS107">
            <v>2.5291473234859918E-2</v>
          </cell>
          <cell r="EV107">
            <v>42064</v>
          </cell>
          <cell r="EW107">
            <v>29.523883306214891</v>
          </cell>
          <cell r="EX107">
            <v>28.619412923804926</v>
          </cell>
          <cell r="EY107">
            <v>2.1661224017230696E-2</v>
          </cell>
          <cell r="EZ107">
            <v>2.4161337723089371E-2</v>
          </cell>
        </row>
        <row r="108">
          <cell r="DM108">
            <v>42064</v>
          </cell>
          <cell r="DP108">
            <v>1.3251783893985847E-2</v>
          </cell>
          <cell r="DQ108">
            <v>2.0567375886524797E-2</v>
          </cell>
          <cell r="DR108">
            <v>2.1750465905005623E-2</v>
          </cell>
          <cell r="DS108">
            <v>2.425382917842156E-2</v>
          </cell>
          <cell r="EV108">
            <v>42156</v>
          </cell>
          <cell r="EW108">
            <v>29.711861321987147</v>
          </cell>
          <cell r="EX108">
            <v>28.818765638520599</v>
          </cell>
          <cell r="EY108">
            <v>2.3010951959311132E-2</v>
          </cell>
          <cell r="EZ108">
            <v>2.4855420930627092E-2</v>
          </cell>
        </row>
        <row r="109">
          <cell r="DM109">
            <v>42156</v>
          </cell>
          <cell r="DP109">
            <v>2.5782055689240302E-2</v>
          </cell>
          <cell r="DQ109">
            <v>2.7964601769911557E-2</v>
          </cell>
          <cell r="DR109">
            <v>2.3019480027607564E-2</v>
          </cell>
          <cell r="DS109">
            <v>2.4891577093260508E-2</v>
          </cell>
          <cell r="EV109">
            <v>42248</v>
          </cell>
          <cell r="EW109">
            <v>29.824914947926892</v>
          </cell>
          <cell r="EX109">
            <v>28.980817108574332</v>
          </cell>
          <cell r="EY109">
            <v>2.0055622376414117E-2</v>
          </cell>
          <cell r="EZ109">
            <v>2.4587006429305225E-2</v>
          </cell>
        </row>
        <row r="110">
          <cell r="DM110">
            <v>42248</v>
          </cell>
          <cell r="DP110">
            <v>1.5672913117546816E-2</v>
          </cell>
          <cell r="DQ110">
            <v>2.2679692951849129E-2</v>
          </cell>
          <cell r="DR110">
            <v>2.002283775529734E-2</v>
          </cell>
          <cell r="DS110">
            <v>2.4576782201445768E-2</v>
          </cell>
          <cell r="EV110">
            <v>42339</v>
          </cell>
          <cell r="EW110">
            <v>29.935787797059888</v>
          </cell>
          <cell r="EX110">
            <v>29.135934744795914</v>
          </cell>
          <cell r="EY110">
            <v>1.7366611543766952E-2</v>
          </cell>
          <cell r="EZ110">
            <v>2.3270380456841488E-2</v>
          </cell>
        </row>
        <row r="111">
          <cell r="DM111">
            <v>42339</v>
          </cell>
          <cell r="DP111">
            <v>1.4755197853789426E-2</v>
          </cell>
          <cell r="DQ111">
            <v>2.1535255296978084E-2</v>
          </cell>
          <cell r="DR111">
            <v>1.7353555919162655E-2</v>
          </cell>
          <cell r="DS111">
            <v>2.3182746694823342E-2</v>
          </cell>
          <cell r="EV111">
            <v>42430</v>
          </cell>
          <cell r="EW111">
            <v>30.068601945481014</v>
          </cell>
          <cell r="EX111">
            <v>29.311380825000043</v>
          </cell>
          <cell r="EY111">
            <v>1.845010135070746E-2</v>
          </cell>
          <cell r="EZ111">
            <v>2.4178270289379578E-2</v>
          </cell>
        </row>
        <row r="112">
          <cell r="DM112">
            <v>42430</v>
          </cell>
          <cell r="DP112">
            <v>1.7773306505700859E-2</v>
          </cell>
          <cell r="DQ112">
            <v>2.4322446143155041E-2</v>
          </cell>
          <cell r="DR112">
            <v>1.8486618194129667E-2</v>
          </cell>
          <cell r="DS112">
            <v>2.4122624179023111E-2</v>
          </cell>
          <cell r="EV112">
            <v>42522</v>
          </cell>
          <cell r="EW112">
            <v>30.115914679698687</v>
          </cell>
          <cell r="EX112">
            <v>29.469916231058541</v>
          </cell>
          <cell r="EY112">
            <v>1.3599059087305854E-2</v>
          </cell>
          <cell r="EZ112">
            <v>2.2594673231513429E-2</v>
          </cell>
        </row>
        <row r="113">
          <cell r="DM113">
            <v>42522</v>
          </cell>
          <cell r="DR113">
            <v>1.3717234704899939E-2</v>
          </cell>
          <cell r="DS113">
            <v>2.2557301159242149E-2</v>
          </cell>
          <cell r="EV113">
            <v>42614</v>
          </cell>
          <cell r="EW113">
            <v>30.214137069654488</v>
          </cell>
          <cell r="EX113">
            <v>29.600669870912917</v>
          </cell>
          <cell r="EY113">
            <v>1.305023408808248E-2</v>
          </cell>
          <cell r="EZ113">
            <v>2.1388381149377356E-2</v>
          </cell>
        </row>
        <row r="114">
          <cell r="DM114">
            <v>42614</v>
          </cell>
          <cell r="DR114">
            <v>1.3154201831701906E-2</v>
          </cell>
          <cell r="DS114">
            <v>2.1406214685584679E-2</v>
          </cell>
          <cell r="EV114">
            <v>42705</v>
          </cell>
          <cell r="EW114">
            <v>30.127424518712811</v>
          </cell>
          <cell r="EX114">
            <v>29.699923956859827</v>
          </cell>
          <cell r="EY114">
            <v>6.4015927341569689E-3</v>
          </cell>
          <cell r="EZ114">
            <v>1.9357168973775485E-2</v>
          </cell>
        </row>
        <row r="115">
          <cell r="DM115">
            <v>42705</v>
          </cell>
          <cell r="DR115">
            <v>6.6034050173520153E-3</v>
          </cell>
          <cell r="DS115">
            <v>1.9331548587021796E-2</v>
          </cell>
        </row>
        <row r="116">
          <cell r="DM116">
            <v>42795</v>
          </cell>
          <cell r="DR116">
            <v>4.4832667421235151E-3</v>
          </cell>
          <cell r="DS116">
            <v>1.7325372277375184E-2</v>
          </cell>
        </row>
        <row r="117">
          <cell r="DM117">
            <v>42887</v>
          </cell>
          <cell r="DR117">
            <v>8.8447098863579932E-3</v>
          </cell>
          <cell r="DS117">
            <v>1.5949415922644317E-2</v>
          </cell>
        </row>
        <row r="118">
          <cell r="DM118">
            <v>42979</v>
          </cell>
          <cell r="DR118">
            <v>1.4842949079504564E-2</v>
          </cell>
          <cell r="DS118">
            <v>1.7038005052036898E-2</v>
          </cell>
        </row>
        <row r="119">
          <cell r="DM119">
            <v>43070</v>
          </cell>
          <cell r="DR119">
            <v>3.1626955819049174E-2</v>
          </cell>
          <cell r="DS119">
            <v>2.1595031267831466E-2</v>
          </cell>
        </row>
        <row r="120">
          <cell r="DM120">
            <v>43160</v>
          </cell>
          <cell r="DR120">
            <v>4.2770168196300862E-2</v>
          </cell>
          <cell r="DS120">
            <v>2.6443812664250999E-2</v>
          </cell>
        </row>
        <row r="121">
          <cell r="DM121">
            <v>43252</v>
          </cell>
          <cell r="DR121">
            <v>4.8042374113670405E-2</v>
          </cell>
          <cell r="DS121">
            <v>3.0127929093520356E-2</v>
          </cell>
        </row>
        <row r="122">
          <cell r="DM122">
            <v>43344</v>
          </cell>
          <cell r="DR122">
            <v>4.7373125768532143E-2</v>
          </cell>
          <cell r="DS122">
            <v>3.1733641800410828E-2</v>
          </cell>
        </row>
        <row r="123">
          <cell r="DM123">
            <v>43435</v>
          </cell>
          <cell r="DR123">
            <v>4.3638189810861983E-2</v>
          </cell>
          <cell r="DS123">
            <v>3.1655129386657599E-2</v>
          </cell>
        </row>
      </sheetData>
      <sheetData sheetId="5"/>
      <sheetData sheetId="6"/>
      <sheetData sheetId="7"/>
      <sheetData sheetId="8"/>
      <sheetData sheetId="9"/>
      <sheetData sheetId="10"/>
      <sheetData sheetId="11"/>
      <sheetData sheetId="12"/>
      <sheetData sheetId="13"/>
      <sheetData sheetId="14">
        <row r="4">
          <cell r="AK4">
            <v>2.6534083242832018E-2</v>
          </cell>
        </row>
      </sheetData>
      <sheetData sheetId="15"/>
      <sheetData sheetId="16">
        <row r="4">
          <cell r="AS4">
            <v>2.6346526009634275E-2</v>
          </cell>
        </row>
      </sheetData>
      <sheetData sheetId="17"/>
      <sheetData sheetId="18">
        <row r="4">
          <cell r="AK4">
            <v>2.1999999999999999E-2</v>
          </cell>
        </row>
      </sheetData>
      <sheetData sheetId="19"/>
      <sheetData sheetId="20"/>
      <sheetData sheetId="21"/>
      <sheetData sheetId="22"/>
      <sheetData sheetId="23"/>
      <sheetData sheetId="24"/>
      <sheetData sheetId="25"/>
      <sheetData sheetId="26"/>
      <sheetData sheetId="27">
        <row r="4">
          <cell r="AF4">
            <v>2.4156418276994194E-2</v>
          </cell>
          <cell r="AJ4">
            <v>0.03</v>
          </cell>
        </row>
      </sheetData>
      <sheetData sheetId="28">
        <row r="28">
          <cell r="D28">
            <v>2.4156418276994194E-2</v>
          </cell>
        </row>
      </sheetData>
      <sheetData sheetId="29"/>
      <sheetData sheetId="30"/>
      <sheetData sheetId="31"/>
      <sheetData sheetId="32"/>
      <sheetData sheetId="33"/>
      <sheetData sheetId="34"/>
      <sheetData sheetId="35"/>
      <sheetData sheetId="36"/>
      <sheetData sheetId="37">
        <row r="4">
          <cell r="AQ4">
            <v>0.55000000000000004</v>
          </cell>
        </row>
      </sheetData>
      <sheetData sheetId="38"/>
      <sheetData sheetId="39"/>
      <sheetData sheetId="40"/>
      <sheetData sheetId="41"/>
      <sheetData sheetId="42"/>
      <sheetData sheetId="43">
        <row r="1">
          <cell r="C1">
            <v>1</v>
          </cell>
        </row>
        <row r="4">
          <cell r="J4">
            <v>1.8499999999999999E-2</v>
          </cell>
          <cell r="K4">
            <v>0.28143808338968002</v>
          </cell>
        </row>
      </sheetData>
      <sheetData sheetId="44"/>
      <sheetData sheetId="45"/>
      <sheetData sheetId="46"/>
      <sheetData sheetId="47"/>
      <sheetData sheetId="48"/>
      <sheetData sheetId="49"/>
      <sheetData sheetId="50"/>
      <sheetData sheetId="51">
        <row r="1">
          <cell r="C1">
            <v>1</v>
          </cell>
        </row>
      </sheetData>
      <sheetData sheetId="52">
        <row r="4">
          <cell r="D4">
            <v>4.2500000000000003E-2</v>
          </cell>
          <cell r="E4">
            <v>0.09</v>
          </cell>
          <cell r="F4">
            <v>0.02</v>
          </cell>
          <cell r="G4">
            <v>0.125</v>
          </cell>
          <cell r="H4">
            <v>0.02</v>
          </cell>
          <cell r="I4">
            <v>0.40694582540406332</v>
          </cell>
          <cell r="J4">
            <v>2.4E-2</v>
          </cell>
          <cell r="K4">
            <v>0.37805417459593671</v>
          </cell>
          <cell r="L4">
            <v>2.4E-2</v>
          </cell>
          <cell r="M4">
            <v>1.7999999999999999E-2</v>
          </cell>
          <cell r="N4">
            <v>8.0000000000000002E-3</v>
          </cell>
          <cell r="O4">
            <v>3.0000000000000001E-3</v>
          </cell>
          <cell r="P4">
            <v>1</v>
          </cell>
          <cell r="Q4">
            <v>1.0800000000000001E-2</v>
          </cell>
          <cell r="AE4">
            <v>0.62194582540406329</v>
          </cell>
          <cell r="AG4">
            <v>1.4999999999999999E-2</v>
          </cell>
          <cell r="AH4">
            <v>3.0000000000000001E-3</v>
          </cell>
        </row>
      </sheetData>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Explanation"/>
      <sheetName val="Raw Data"/>
      <sheetName val="PivotAppnTypeSpendbyYear"/>
      <sheetName val="GraphAppnTypeSpendbyYear"/>
      <sheetName val="PivotAppnTypeByVote"/>
      <sheetName val="GraphAppnTypeByVote"/>
      <sheetName val="PivotAppnTypeByPortfolio"/>
      <sheetName val="b19-expenditure-data - annotate"/>
      <sheetName val="Raw_Data"/>
      <sheetName val="b19-expenditure-data_-_annotate"/>
    </sheetNames>
    <sheetDataSet>
      <sheetData sheetId="0"/>
      <sheetData sheetId="1"/>
      <sheetData sheetId="2"/>
      <sheetData sheetId="3">
        <row r="5">
          <cell r="D5">
            <v>2018</v>
          </cell>
          <cell r="E5">
            <v>2019</v>
          </cell>
          <cell r="F5">
            <v>2020</v>
          </cell>
        </row>
        <row r="8">
          <cell r="B8" t="str">
            <v>Health Sector Information Systems</v>
          </cell>
          <cell r="C8">
            <v>53501</v>
          </cell>
          <cell r="D8">
            <v>52840</v>
          </cell>
          <cell r="E8">
            <v>49318</v>
          </cell>
          <cell r="F8">
            <v>58618</v>
          </cell>
        </row>
        <row r="9">
          <cell r="B9" t="str">
            <v>Managing the Purchase of Services</v>
          </cell>
          <cell r="C9">
            <v>34054</v>
          </cell>
          <cell r="D9">
            <v>43368</v>
          </cell>
          <cell r="E9">
            <v>47374</v>
          </cell>
          <cell r="F9">
            <v>42441</v>
          </cell>
        </row>
        <row r="10">
          <cell r="B10" t="str">
            <v>Payment Services</v>
          </cell>
          <cell r="C10">
            <v>18377</v>
          </cell>
          <cell r="D10">
            <v>15838</v>
          </cell>
          <cell r="E10">
            <v>15340</v>
          </cell>
          <cell r="F10">
            <v>17340</v>
          </cell>
        </row>
        <row r="11">
          <cell r="B11" t="str">
            <v>Policy Advice and Ministerial Servicing</v>
          </cell>
          <cell r="C11">
            <v>20521</v>
          </cell>
          <cell r="D11">
            <v>20586</v>
          </cell>
          <cell r="E11">
            <v>24901</v>
          </cell>
          <cell r="F11">
            <v>26895</v>
          </cell>
        </row>
        <row r="12">
          <cell r="B12" t="str">
            <v>Regulatory and Enforcement Services</v>
          </cell>
          <cell r="C12">
            <v>22042</v>
          </cell>
          <cell r="D12">
            <v>24819</v>
          </cell>
          <cell r="E12">
            <v>23043</v>
          </cell>
          <cell r="F12">
            <v>24646</v>
          </cell>
        </row>
        <row r="13">
          <cell r="B13" t="str">
            <v>Sector Planning and Performance</v>
          </cell>
          <cell r="C13">
            <v>48010</v>
          </cell>
          <cell r="D13">
            <v>48465</v>
          </cell>
          <cell r="E13">
            <v>52426</v>
          </cell>
          <cell r="F13">
            <v>51026</v>
          </cell>
        </row>
        <row r="14">
          <cell r="C14">
            <v>196505</v>
          </cell>
          <cell r="D14">
            <v>205916</v>
          </cell>
          <cell r="E14">
            <v>212402</v>
          </cell>
          <cell r="F14">
            <v>220966</v>
          </cell>
        </row>
        <row r="15">
          <cell r="B15" t="str">
            <v>Equity for Capital Projects for DHBs and Health Sector Crown Agencies</v>
          </cell>
          <cell r="C15">
            <v>2539467</v>
          </cell>
          <cell r="D15">
            <v>25811</v>
          </cell>
          <cell r="E15">
            <v>148773</v>
          </cell>
          <cell r="F15">
            <v>1507470</v>
          </cell>
        </row>
        <row r="16">
          <cell r="B16" t="str">
            <v>Equity Support for DHB deficits</v>
          </cell>
          <cell r="C16">
            <v>37700</v>
          </cell>
          <cell r="D16">
            <v>69300</v>
          </cell>
          <cell r="E16">
            <v>234211</v>
          </cell>
          <cell r="F16">
            <v>134211</v>
          </cell>
        </row>
        <row r="17">
          <cell r="B17" t="str">
            <v>Health Sector Projects</v>
          </cell>
          <cell r="C17">
            <v>156258</v>
          </cell>
          <cell r="D17">
            <v>233375</v>
          </cell>
          <cell r="E17">
            <v>213922</v>
          </cell>
          <cell r="F17">
            <v>40600</v>
          </cell>
        </row>
        <row r="18">
          <cell r="B18" t="str">
            <v>Loans for Capital Projects</v>
          </cell>
          <cell r="C18">
            <v>85000</v>
          </cell>
        </row>
        <row r="19">
          <cell r="B19" t="str">
            <v>Refinance of Crown Loans</v>
          </cell>
          <cell r="C19">
            <v>204214</v>
          </cell>
        </row>
        <row r="20">
          <cell r="B20" t="str">
            <v>Residential Care Loans - Payments</v>
          </cell>
          <cell r="C20">
            <v>10400</v>
          </cell>
          <cell r="D20">
            <v>12852</v>
          </cell>
          <cell r="E20">
            <v>15000</v>
          </cell>
          <cell r="F20">
            <v>15000</v>
          </cell>
        </row>
        <row r="21">
          <cell r="C21">
            <v>3033039</v>
          </cell>
          <cell r="D21">
            <v>341338</v>
          </cell>
          <cell r="E21">
            <v>611906</v>
          </cell>
          <cell r="F21">
            <v>1697281</v>
          </cell>
        </row>
        <row r="22">
          <cell r="B22" t="str">
            <v>International Health Organisations</v>
          </cell>
          <cell r="C22">
            <v>1703</v>
          </cell>
          <cell r="D22">
            <v>1819</v>
          </cell>
          <cell r="E22">
            <v>2030</v>
          </cell>
          <cell r="F22">
            <v>2030</v>
          </cell>
        </row>
        <row r="23">
          <cell r="B23" t="str">
            <v>Legal Expenses</v>
          </cell>
          <cell r="C23">
            <v>961</v>
          </cell>
          <cell r="D23">
            <v>1972</v>
          </cell>
          <cell r="E23">
            <v>3378</v>
          </cell>
          <cell r="F23">
            <v>1028</v>
          </cell>
        </row>
        <row r="24">
          <cell r="B24" t="str">
            <v>Provider Development</v>
          </cell>
          <cell r="C24">
            <v>23831</v>
          </cell>
          <cell r="D24">
            <v>18405</v>
          </cell>
          <cell r="E24">
            <v>21289</v>
          </cell>
          <cell r="F24">
            <v>43434</v>
          </cell>
        </row>
        <row r="25">
          <cell r="B25" t="str">
            <v>Repayment of District Health Board Loans</v>
          </cell>
          <cell r="C25">
            <v>75974</v>
          </cell>
        </row>
        <row r="26">
          <cell r="C26">
            <v>102469</v>
          </cell>
          <cell r="D26">
            <v>22196</v>
          </cell>
          <cell r="E26">
            <v>26697</v>
          </cell>
          <cell r="F26">
            <v>46492</v>
          </cell>
        </row>
        <row r="27">
          <cell r="B27" t="str">
            <v>Auckland Health Projects Integrated Investment Plan</v>
          </cell>
          <cell r="E27">
            <v>30</v>
          </cell>
        </row>
        <row r="28">
          <cell r="B28" t="str">
            <v>Health and Disability Support Services - Auckland DHB</v>
          </cell>
          <cell r="C28">
            <v>1195265</v>
          </cell>
          <cell r="D28">
            <v>1252079</v>
          </cell>
          <cell r="E28">
            <v>1330189</v>
          </cell>
          <cell r="F28">
            <v>1391484</v>
          </cell>
        </row>
        <row r="29">
          <cell r="B29" t="str">
            <v>Health and Disability Support Services - Bay of Plenty DHB</v>
          </cell>
          <cell r="C29">
            <v>664889</v>
          </cell>
          <cell r="D29">
            <v>694747</v>
          </cell>
          <cell r="E29">
            <v>728953</v>
          </cell>
          <cell r="F29">
            <v>762449</v>
          </cell>
        </row>
        <row r="30">
          <cell r="B30" t="str">
            <v>Health and Disability Support Services - Canterbury DHB</v>
          </cell>
          <cell r="C30">
            <v>1330249</v>
          </cell>
          <cell r="D30">
            <v>1378248</v>
          </cell>
          <cell r="E30">
            <v>1434372</v>
          </cell>
          <cell r="F30">
            <v>1510695</v>
          </cell>
        </row>
        <row r="31">
          <cell r="B31" t="str">
            <v>Health and Disability Support Services - Capital and Coast DHB</v>
          </cell>
          <cell r="C31">
            <v>702654</v>
          </cell>
          <cell r="D31">
            <v>735631</v>
          </cell>
          <cell r="E31">
            <v>778514</v>
          </cell>
          <cell r="F31">
            <v>817679</v>
          </cell>
        </row>
        <row r="32">
          <cell r="B32" t="str">
            <v>Health and Disability Support Services - Counties-Manukau DHB</v>
          </cell>
          <cell r="C32">
            <v>1321733</v>
          </cell>
          <cell r="D32">
            <v>1375690</v>
          </cell>
          <cell r="E32">
            <v>1447124</v>
          </cell>
          <cell r="F32">
            <v>1524353</v>
          </cell>
        </row>
        <row r="33">
          <cell r="B33" t="str">
            <v>Health and Disability Support Services - Hawkes Bay DHB</v>
          </cell>
          <cell r="C33">
            <v>470211</v>
          </cell>
          <cell r="D33">
            <v>482423</v>
          </cell>
          <cell r="E33">
            <v>501131</v>
          </cell>
          <cell r="F33">
            <v>524166</v>
          </cell>
        </row>
        <row r="34">
          <cell r="B34" t="str">
            <v>Health and Disability Support Services - Hutt DHB</v>
          </cell>
          <cell r="C34">
            <v>372954</v>
          </cell>
          <cell r="D34">
            <v>384878</v>
          </cell>
          <cell r="E34">
            <v>401752</v>
          </cell>
          <cell r="F34">
            <v>416836</v>
          </cell>
        </row>
        <row r="35">
          <cell r="B35" t="str">
            <v>Health and Disability Support Services - Lakes DHB</v>
          </cell>
          <cell r="C35">
            <v>298534</v>
          </cell>
          <cell r="D35">
            <v>314710</v>
          </cell>
          <cell r="E35">
            <v>327563</v>
          </cell>
          <cell r="F35">
            <v>340415</v>
          </cell>
        </row>
        <row r="36">
          <cell r="B36" t="str">
            <v>Health and Disability Support Services - MidCentral DHB</v>
          </cell>
          <cell r="C36">
            <v>482762</v>
          </cell>
          <cell r="D36">
            <v>494251</v>
          </cell>
          <cell r="E36">
            <v>515382</v>
          </cell>
          <cell r="F36">
            <v>540792</v>
          </cell>
        </row>
        <row r="37">
          <cell r="B37" t="str">
            <v>Health and Disability Support Services - Nelson-Marlborough DHB</v>
          </cell>
          <cell r="C37">
            <v>403401</v>
          </cell>
          <cell r="D37">
            <v>418361</v>
          </cell>
          <cell r="E37">
            <v>442103</v>
          </cell>
          <cell r="F37">
            <v>462233</v>
          </cell>
        </row>
        <row r="38">
          <cell r="B38" t="str">
            <v>Health and Disability Support Services - Northland DHB</v>
          </cell>
          <cell r="C38">
            <v>536633</v>
          </cell>
          <cell r="D38">
            <v>564287</v>
          </cell>
          <cell r="E38">
            <v>603896</v>
          </cell>
          <cell r="F38">
            <v>632077</v>
          </cell>
        </row>
        <row r="39">
          <cell r="B39" t="str">
            <v>Health and Disability Support Services - South Canterbury DHB</v>
          </cell>
          <cell r="C39">
            <v>171495</v>
          </cell>
          <cell r="D39">
            <v>177017</v>
          </cell>
          <cell r="E39">
            <v>182428</v>
          </cell>
          <cell r="F39">
            <v>190066</v>
          </cell>
        </row>
        <row r="40">
          <cell r="B40" t="str">
            <v>Health and Disability Support Services - Southern DHB</v>
          </cell>
          <cell r="C40">
            <v>818588</v>
          </cell>
          <cell r="D40">
            <v>846384</v>
          </cell>
          <cell r="E40">
            <v>884027</v>
          </cell>
          <cell r="F40">
            <v>926825</v>
          </cell>
        </row>
        <row r="41">
          <cell r="B41" t="str">
            <v>Health and Disability Support Services - Tairawhiti DHB</v>
          </cell>
          <cell r="C41">
            <v>154031</v>
          </cell>
          <cell r="D41">
            <v>160653</v>
          </cell>
          <cell r="E41">
            <v>166215</v>
          </cell>
          <cell r="F41">
            <v>171979</v>
          </cell>
        </row>
        <row r="42">
          <cell r="B42" t="str">
            <v>Health and Disability Support Services - Taranaki DHB</v>
          </cell>
          <cell r="C42">
            <v>324724</v>
          </cell>
          <cell r="D42">
            <v>335661</v>
          </cell>
          <cell r="E42">
            <v>349770</v>
          </cell>
          <cell r="F42">
            <v>362111</v>
          </cell>
        </row>
        <row r="43">
          <cell r="B43" t="str">
            <v>Health and Disability Support Services - Waikato DHB</v>
          </cell>
          <cell r="C43">
            <v>1088798</v>
          </cell>
          <cell r="D43">
            <v>1150494</v>
          </cell>
          <cell r="E43">
            <v>1206301</v>
          </cell>
          <cell r="F43">
            <v>1262909</v>
          </cell>
        </row>
        <row r="44">
          <cell r="B44" t="str">
            <v>Health and Disability Support Services - Wairarapa DHB</v>
          </cell>
          <cell r="C44">
            <v>130946</v>
          </cell>
          <cell r="D44">
            <v>135248</v>
          </cell>
          <cell r="E44">
            <v>140650</v>
          </cell>
          <cell r="F44">
            <v>149112</v>
          </cell>
        </row>
        <row r="45">
          <cell r="B45" t="str">
            <v>Health and Disability Support Services - Waitemata DHB</v>
          </cell>
          <cell r="C45">
            <v>1391674</v>
          </cell>
          <cell r="D45">
            <v>1464456</v>
          </cell>
          <cell r="E45">
            <v>1541548</v>
          </cell>
          <cell r="F45">
            <v>1622080</v>
          </cell>
        </row>
        <row r="46">
          <cell r="B46" t="str">
            <v>Health and Disability Support Services - West Coast DHB</v>
          </cell>
          <cell r="C46">
            <v>124489</v>
          </cell>
          <cell r="D46">
            <v>128075</v>
          </cell>
          <cell r="E46">
            <v>133949</v>
          </cell>
          <cell r="F46">
            <v>137668</v>
          </cell>
        </row>
        <row r="47">
          <cell r="B47" t="str">
            <v>Health and Disability Support Services - Whanganui DHB</v>
          </cell>
          <cell r="C47">
            <v>210551</v>
          </cell>
          <cell r="D47">
            <v>218554</v>
          </cell>
          <cell r="E47">
            <v>226852</v>
          </cell>
          <cell r="F47">
            <v>234337</v>
          </cell>
        </row>
        <row r="48">
          <cell r="B48" t="str">
            <v>Health Sector Projects Operating Expenses</v>
          </cell>
          <cell r="C48">
            <v>2561</v>
          </cell>
          <cell r="D48">
            <v>5270</v>
          </cell>
          <cell r="E48">
            <v>4558</v>
          </cell>
        </row>
        <row r="49">
          <cell r="B49" t="str">
            <v>Health Services Funding</v>
          </cell>
          <cell r="F49">
            <v>23681</v>
          </cell>
        </row>
        <row r="50">
          <cell r="B50" t="str">
            <v>Health Workforce Training and Development</v>
          </cell>
          <cell r="C50">
            <v>184657</v>
          </cell>
          <cell r="D50">
            <v>186609</v>
          </cell>
          <cell r="E50">
            <v>187120</v>
          </cell>
          <cell r="F50">
            <v>211641</v>
          </cell>
        </row>
        <row r="51">
          <cell r="B51" t="str">
            <v>Monitoring and Protecting Health and Disability Consumer Interests</v>
          </cell>
          <cell r="C51">
            <v>28642</v>
          </cell>
          <cell r="D51">
            <v>29844</v>
          </cell>
          <cell r="E51">
            <v>29546</v>
          </cell>
          <cell r="F51">
            <v>31546</v>
          </cell>
        </row>
        <row r="52">
          <cell r="B52" t="str">
            <v>National Child Health Services</v>
          </cell>
          <cell r="C52">
            <v>81764</v>
          </cell>
          <cell r="D52">
            <v>82170</v>
          </cell>
          <cell r="E52">
            <v>93254</v>
          </cell>
          <cell r="F52">
            <v>112980</v>
          </cell>
        </row>
        <row r="53">
          <cell r="B53" t="str">
            <v>National Contracted Services - Other</v>
          </cell>
          <cell r="C53">
            <v>25880</v>
          </cell>
          <cell r="D53">
            <v>24892</v>
          </cell>
          <cell r="E53">
            <v>23488</v>
          </cell>
          <cell r="F53">
            <v>23488</v>
          </cell>
        </row>
        <row r="54">
          <cell r="B54" t="str">
            <v>National Disability Support Services</v>
          </cell>
          <cell r="C54">
            <v>1187988</v>
          </cell>
          <cell r="D54">
            <v>1255530</v>
          </cell>
          <cell r="E54">
            <v>1351707</v>
          </cell>
          <cell r="F54">
            <v>1344646</v>
          </cell>
        </row>
        <row r="55">
          <cell r="B55" t="str">
            <v>National Emergency Services</v>
          </cell>
          <cell r="C55">
            <v>101033</v>
          </cell>
          <cell r="D55">
            <v>108162</v>
          </cell>
          <cell r="E55">
            <v>120313</v>
          </cell>
          <cell r="F55">
            <v>150319</v>
          </cell>
        </row>
        <row r="56">
          <cell r="B56" t="str">
            <v>National Health Information Systems</v>
          </cell>
          <cell r="C56">
            <v>4369</v>
          </cell>
          <cell r="D56">
            <v>4701</v>
          </cell>
          <cell r="E56">
            <v>5242</v>
          </cell>
          <cell r="F56">
            <v>8382</v>
          </cell>
        </row>
        <row r="57">
          <cell r="B57" t="str">
            <v>National Maori Health Services</v>
          </cell>
          <cell r="C57">
            <v>3010</v>
          </cell>
          <cell r="D57">
            <v>2149</v>
          </cell>
          <cell r="E57">
            <v>6828</v>
          </cell>
          <cell r="F57">
            <v>6828</v>
          </cell>
        </row>
        <row r="58">
          <cell r="B58" t="str">
            <v>National Maternity Services</v>
          </cell>
          <cell r="C58">
            <v>154047</v>
          </cell>
          <cell r="D58">
            <v>166508</v>
          </cell>
          <cell r="E58">
            <v>181067</v>
          </cell>
          <cell r="F58">
            <v>188492</v>
          </cell>
        </row>
        <row r="59">
          <cell r="B59" t="str">
            <v>National Mental Health Services</v>
          </cell>
          <cell r="C59">
            <v>64848</v>
          </cell>
          <cell r="D59">
            <v>65090</v>
          </cell>
          <cell r="E59">
            <v>77694</v>
          </cell>
          <cell r="F59">
            <v>141296</v>
          </cell>
        </row>
        <row r="60">
          <cell r="B60" t="str">
            <v>National Personal Health Services</v>
          </cell>
          <cell r="C60">
            <v>82027</v>
          </cell>
          <cell r="D60">
            <v>79176</v>
          </cell>
          <cell r="E60">
            <v>70751</v>
          </cell>
          <cell r="F60">
            <v>67005</v>
          </cell>
        </row>
        <row r="61">
          <cell r="B61" t="str">
            <v>National Planned Care Services</v>
          </cell>
          <cell r="C61">
            <v>350577</v>
          </cell>
          <cell r="D61">
            <v>354104</v>
          </cell>
          <cell r="E61">
            <v>362357</v>
          </cell>
          <cell r="F61">
            <v>396085</v>
          </cell>
        </row>
        <row r="62">
          <cell r="B62" t="str">
            <v>Primary Health Care Strategy</v>
          </cell>
          <cell r="C62">
            <v>185360</v>
          </cell>
          <cell r="D62">
            <v>192531</v>
          </cell>
          <cell r="E62">
            <v>264639</v>
          </cell>
          <cell r="F62">
            <v>330533</v>
          </cell>
        </row>
        <row r="63">
          <cell r="B63" t="str">
            <v>Problem Gambling Services</v>
          </cell>
          <cell r="C63">
            <v>14900</v>
          </cell>
          <cell r="D63">
            <v>15997</v>
          </cell>
          <cell r="E63">
            <v>15265</v>
          </cell>
          <cell r="F63">
            <v>18698</v>
          </cell>
        </row>
        <row r="64">
          <cell r="B64" t="str">
            <v>Public Health Service Purchasing</v>
          </cell>
          <cell r="C64">
            <v>386087</v>
          </cell>
          <cell r="D64">
            <v>364314</v>
          </cell>
          <cell r="E64">
            <v>392608</v>
          </cell>
          <cell r="F64">
            <v>440302</v>
          </cell>
        </row>
        <row r="65">
          <cell r="B65" t="str">
            <v>Supporting Equitable Pay</v>
          </cell>
          <cell r="D65">
            <v>299256</v>
          </cell>
          <cell r="E65">
            <v>377405</v>
          </cell>
          <cell r="F65">
            <v>413636</v>
          </cell>
        </row>
        <row r="66">
          <cell r="B66" t="str">
            <v>Supporting Safe Working Conditions for Nurses</v>
          </cell>
          <cell r="E66">
            <v>35694</v>
          </cell>
        </row>
      </sheetData>
      <sheetData sheetId="4"/>
      <sheetData sheetId="5"/>
      <sheetData sheetId="6"/>
      <sheetData sheetId="7"/>
      <sheetData sheetId="8" refreshError="1"/>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Exec summary Table 1"/>
      <sheetName val="Exec summary Fig 1"/>
      <sheetName val="Data 1"/>
      <sheetName val="Exec summary Fig 2"/>
      <sheetName val="Data 2"/>
      <sheetName val="Table 1.1"/>
      <sheetName val="Table 1.2"/>
      <sheetName val="Fig 1.1"/>
      <sheetName val="Data 1.1"/>
      <sheetName val="Fig 1.2"/>
      <sheetName val="Data 1.2"/>
      <sheetName val="Fig 1.3"/>
      <sheetName val="Data 1.3"/>
      <sheetName val="Fig 1.4"/>
      <sheetName val="Data 1.4"/>
      <sheetName val="Figure 1.5"/>
      <sheetName val="Data 1.5"/>
      <sheetName val="Fig 1.6"/>
      <sheetName val="Data 1.6"/>
      <sheetName val="Fig 1.7"/>
      <sheetName val="Data 1.7"/>
      <sheetName val="Fig 1.8"/>
      <sheetName val="Data 1.8"/>
      <sheetName val="Fig 1.9"/>
      <sheetName val="Data 1.9"/>
      <sheetName val="Fig 1.10"/>
      <sheetName val="Data 1.10"/>
      <sheetName val="Fig 1.11"/>
      <sheetName val="Data 1.11"/>
      <sheetName val="Fig 1.12"/>
      <sheetName val="Data 1.12"/>
      <sheetName val="Fig 1.13"/>
      <sheetName val="Data 1.13"/>
      <sheetName val="Fig 1.14"/>
      <sheetName val="Data 1.14"/>
      <sheetName val="Fig 1.15 "/>
      <sheetName val="Data 1.15"/>
      <sheetName val="Fig 1.16"/>
      <sheetName val="Data 1.16"/>
      <sheetName val="Table 2.1"/>
      <sheetName val="Table 2.2"/>
      <sheetName val="Table 2.3"/>
      <sheetName val="Table 2.4"/>
      <sheetName val="Table 2.5"/>
      <sheetName val="Table 2.6"/>
      <sheetName val="Table 2.7"/>
      <sheetName val="Table 2.8"/>
      <sheetName val="Table 2.9"/>
      <sheetName val="Table 2.10"/>
      <sheetName val="Table 2.11"/>
      <sheetName val="Table 2.12"/>
      <sheetName val="Table 2.13"/>
      <sheetName val="Table 2.14"/>
      <sheetName val="Fig 2.1"/>
      <sheetName val="Data 2.1"/>
      <sheetName val="Fig 2.2"/>
      <sheetName val="Data 2.2"/>
      <sheetName val="Fig 2.3"/>
      <sheetName val="Data 2.3"/>
      <sheetName val="Fig 2.4"/>
      <sheetName val="Data 2.4"/>
      <sheetName val="Fig 2.5"/>
      <sheetName val="Data 2.5"/>
      <sheetName val="Fig 2.6"/>
      <sheetName val="Data 2.6"/>
      <sheetName val="Fig 2.7"/>
      <sheetName val="Data 2.7"/>
      <sheetName val="Fig 2.8"/>
      <sheetName val="Data 2.8"/>
      <sheetName val="Fig 2.9"/>
      <sheetName val="Data 2.9"/>
      <sheetName val="Fig 2.10"/>
      <sheetName val="Data 2.10"/>
      <sheetName val="Fig 2.11"/>
      <sheetName val="Data 2.11"/>
      <sheetName val="Fig 2.12"/>
      <sheetName val="Data 2.12"/>
      <sheetName val="Fig 2.13"/>
      <sheetName val="Data 2.13"/>
      <sheetName val="Fig 2.14"/>
      <sheetName val="Data 2.14"/>
      <sheetName val="Fig 2.15"/>
      <sheetName val="Data 2.15"/>
      <sheetName val="Fig 2.16"/>
      <sheetName val="Data 2.16"/>
      <sheetName val="Fig 2.17"/>
      <sheetName val="Data 2.17"/>
      <sheetName val="Fig 2.18"/>
      <sheetName val="Data 2.18"/>
      <sheetName val="Fig 2.19"/>
      <sheetName val="Data 2.19"/>
      <sheetName val="Fig 2.20"/>
      <sheetName val="Data 2.20"/>
      <sheetName val="Fig 2.21"/>
      <sheetName val="Data 2.21"/>
      <sheetName val="Table 3.1"/>
      <sheetName val="Table 3.2"/>
      <sheetName val="Fig 3.1"/>
      <sheetName val="Data 3.1"/>
      <sheetName val="Fig 3.2"/>
      <sheetName val="Data 3.2"/>
      <sheetName val="Fig 3.3"/>
      <sheetName val="Data 3.3"/>
      <sheetName val="Fig 3.4"/>
      <sheetName val="Data 3.4"/>
      <sheetName val="Fig 3.5"/>
      <sheetName val="Data 3.5"/>
      <sheetName val="Fig 3.6"/>
      <sheetName val="Data 3.6"/>
      <sheetName val="Fig 3.7"/>
      <sheetName val="Data 3.7"/>
      <sheetName val="Fig 3.8"/>
      <sheetName val="Data 3.8"/>
      <sheetName val="Fig 3.9"/>
      <sheetName val="Data 3.9"/>
      <sheetName val="Fig 3.10"/>
      <sheetName val="Data 3.10"/>
      <sheetName val="March year economic table"/>
      <sheetName val="Exec_summary_Table_1"/>
      <sheetName val="Exec_summary_Fig_1"/>
      <sheetName val="Data_1"/>
      <sheetName val="Exec_summary_Fig_2"/>
      <sheetName val="Data_2"/>
      <sheetName val="Table_1_1"/>
      <sheetName val="Table_1_2"/>
      <sheetName val="Fig_1_1"/>
      <sheetName val="Data_1_1"/>
      <sheetName val="Fig_1_2"/>
      <sheetName val="Data_1_2"/>
      <sheetName val="Fig_1_3"/>
      <sheetName val="Data_1_3"/>
      <sheetName val="Fig_1_4"/>
      <sheetName val="Data_1_4"/>
      <sheetName val="Figure_1_5"/>
      <sheetName val="Data_1_5"/>
      <sheetName val="Fig_1_6"/>
      <sheetName val="Data_1_6"/>
      <sheetName val="Fig_1_7"/>
      <sheetName val="Data_1_7"/>
      <sheetName val="Fig_1_8"/>
      <sheetName val="Data_1_8"/>
      <sheetName val="Fig_1_9"/>
      <sheetName val="Data_1_9"/>
      <sheetName val="Fig_1_10"/>
      <sheetName val="Data_1_10"/>
      <sheetName val="Fig_1_11"/>
      <sheetName val="Data_1_11"/>
      <sheetName val="Fig_1_12"/>
      <sheetName val="Data_1_12"/>
      <sheetName val="Fig_1_13"/>
      <sheetName val="Data_1_13"/>
      <sheetName val="Fig_1_14"/>
      <sheetName val="Data_1_14"/>
      <sheetName val="Fig_1_15_"/>
      <sheetName val="Data_1_15"/>
      <sheetName val="Fig_1_16"/>
      <sheetName val="Data_1_16"/>
      <sheetName val="Table_2_1"/>
      <sheetName val="Table_2_2"/>
      <sheetName val="Table_2_3"/>
      <sheetName val="Table_2_4"/>
      <sheetName val="Table_2_5"/>
      <sheetName val="Table_2_6"/>
      <sheetName val="Table_2_7"/>
      <sheetName val="Table_2_8"/>
      <sheetName val="Table_2_9"/>
      <sheetName val="Table_2_10"/>
      <sheetName val="Table_2_11"/>
      <sheetName val="Table_2_12"/>
      <sheetName val="Table_2_13"/>
      <sheetName val="Table_2_14"/>
      <sheetName val="Fig_2_1"/>
      <sheetName val="Data_2_1"/>
      <sheetName val="Fig_2_2"/>
      <sheetName val="Data_2_2"/>
      <sheetName val="Fig_2_3"/>
      <sheetName val="Data_2_3"/>
      <sheetName val="Fig_2_4"/>
      <sheetName val="Data_2_4"/>
      <sheetName val="Fig_2_5"/>
      <sheetName val="Data_2_5"/>
      <sheetName val="Fig_2_6"/>
      <sheetName val="Data_2_6"/>
      <sheetName val="Fig_2_7"/>
      <sheetName val="Data_2_7"/>
      <sheetName val="Fig_2_8"/>
      <sheetName val="Data_2_8"/>
      <sheetName val="Fig_2_9"/>
      <sheetName val="Data_2_9"/>
      <sheetName val="Fig_2_10"/>
      <sheetName val="Data_2_10"/>
      <sheetName val="Fig_2_11"/>
      <sheetName val="Data_2_11"/>
      <sheetName val="Fig_2_12"/>
      <sheetName val="Data_2_12"/>
      <sheetName val="Fig_2_13"/>
      <sheetName val="Data_2_13"/>
      <sheetName val="Fig_2_14"/>
      <sheetName val="Data_2_14"/>
      <sheetName val="Fig_2_15"/>
      <sheetName val="Data_2_15"/>
      <sheetName val="Fig_2_16"/>
      <sheetName val="Data_2_16"/>
      <sheetName val="Fig_2_17"/>
      <sheetName val="Data_2_17"/>
      <sheetName val="Fig_2_18"/>
      <sheetName val="Data_2_18"/>
      <sheetName val="Fig_2_19"/>
      <sheetName val="Data_2_19"/>
      <sheetName val="Fig_2_20"/>
      <sheetName val="Data_2_20"/>
      <sheetName val="Fig_2_21"/>
      <sheetName val="Data_2_21"/>
      <sheetName val="Table_3_1"/>
      <sheetName val="Table_3_2"/>
      <sheetName val="Fig_3_1"/>
      <sheetName val="Data_3_1"/>
      <sheetName val="Fig_3_2"/>
      <sheetName val="Data_3_2"/>
      <sheetName val="Fig_3_3"/>
      <sheetName val="Data_3_3"/>
      <sheetName val="Fig_3_4"/>
      <sheetName val="Data_3_4"/>
      <sheetName val="Fig_3_5"/>
      <sheetName val="Data_3_5"/>
      <sheetName val="Fig_3_6"/>
      <sheetName val="Data_3_6"/>
      <sheetName val="Fig_3_7"/>
      <sheetName val="Data_3_7"/>
      <sheetName val="Fig_3_8"/>
      <sheetName val="Data_3_8"/>
      <sheetName val="Fig_3_9"/>
      <sheetName val="Data_3_9"/>
      <sheetName val="Fig_3_10"/>
      <sheetName val="Data_3_10"/>
      <sheetName val="March_year_economic_table"/>
    </sheetNames>
    <sheetDataSet>
      <sheetData sheetId="0"/>
      <sheetData sheetId="1"/>
      <sheetData sheetId="2"/>
      <sheetData sheetId="3"/>
      <sheetData sheetId="4"/>
      <sheetData sheetId="5">
        <row r="11">
          <cell r="D11">
            <v>250.12627787580482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ow r="11">
          <cell r="D11">
            <v>250.12627787580482</v>
          </cell>
        </row>
      </sheetData>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tatement"/>
      <sheetName val="Funder Arm Rev"/>
      <sheetName val="Provider Arm"/>
      <sheetName val="YTD FTE"/>
      <sheetName val="Ave FTE cost"/>
      <sheetName val="EOY results"/>
      <sheetName val="Funder_Arm_Rev"/>
      <sheetName val="Provider_Arm"/>
      <sheetName val="YTD_FTE"/>
      <sheetName val="Ave_FTE_cost"/>
      <sheetName val="EOY_results"/>
    </sheetNames>
    <sheetDataSet>
      <sheetData sheetId="0">
        <row r="18">
          <cell r="W18">
            <v>-3757.1738137000002</v>
          </cell>
          <cell r="AD18">
            <v>-3744.4699017500002</v>
          </cell>
          <cell r="AK18">
            <v>-3952.9652953600003</v>
          </cell>
          <cell r="AR18">
            <v>-3964.3702581899993</v>
          </cell>
          <cell r="AY18">
            <v>-4009.5980555200003</v>
          </cell>
          <cell r="BF18">
            <v>-4059</v>
          </cell>
          <cell r="BN18">
            <v>-4139</v>
          </cell>
          <cell r="BV18">
            <v>-4257</v>
          </cell>
          <cell r="CI18">
            <v>-4450</v>
          </cell>
        </row>
        <row r="19">
          <cell r="B19">
            <v>3169352.2675000071</v>
          </cell>
          <cell r="I19">
            <v>3412258.0552999983</v>
          </cell>
          <cell r="P19">
            <v>3608898.8423999972</v>
          </cell>
          <cell r="W19">
            <v>-433.31928269999997</v>
          </cell>
          <cell r="AD19">
            <v>-424.96506598999997</v>
          </cell>
          <cell r="AK19">
            <v>-425.04662602999997</v>
          </cell>
          <cell r="AR19">
            <v>-430.47703271999995</v>
          </cell>
          <cell r="AY19">
            <v>-427.98996146999997</v>
          </cell>
          <cell r="BF19">
            <v>-440</v>
          </cell>
          <cell r="BN19">
            <v>-442</v>
          </cell>
          <cell r="BV19">
            <v>-458</v>
          </cell>
          <cell r="CI19">
            <v>-488</v>
          </cell>
        </row>
        <row r="20">
          <cell r="B20">
            <v>369330.82660000084</v>
          </cell>
          <cell r="I20">
            <v>398954.97019999841</v>
          </cell>
          <cell r="P20">
            <v>409119.66479999997</v>
          </cell>
          <cell r="W20">
            <v>-16.7171238</v>
          </cell>
          <cell r="AD20">
            <v>-17.087073750000002</v>
          </cell>
          <cell r="AK20">
            <v>-17.772875489999997</v>
          </cell>
          <cell r="AR20">
            <v>-19.102883459999997</v>
          </cell>
          <cell r="AY20">
            <v>-19.414962199999994</v>
          </cell>
          <cell r="BF20">
            <v>-26</v>
          </cell>
          <cell r="BN20">
            <v>-30</v>
          </cell>
          <cell r="BV20">
            <v>-28</v>
          </cell>
          <cell r="CI20">
            <v>-37</v>
          </cell>
        </row>
        <row r="21">
          <cell r="B21">
            <v>9863.1647999999986</v>
          </cell>
          <cell r="I21">
            <v>19626.165700000009</v>
          </cell>
          <cell r="P21">
            <v>19804.498099999993</v>
          </cell>
          <cell r="W21">
            <v>-1190.2300263</v>
          </cell>
          <cell r="AD21">
            <v>-1284.7223628300001</v>
          </cell>
          <cell r="AK21">
            <v>-1341.3879435000001</v>
          </cell>
          <cell r="AR21">
            <v>-1366.92075611</v>
          </cell>
          <cell r="AY21">
            <v>-1396.3204920299997</v>
          </cell>
          <cell r="BF21">
            <v>-1449</v>
          </cell>
          <cell r="BN21">
            <v>-1508</v>
          </cell>
          <cell r="BV21">
            <v>-1745</v>
          </cell>
          <cell r="CI21">
            <v>-1836</v>
          </cell>
        </row>
        <row r="22">
          <cell r="B22">
            <v>1010285.536900001</v>
          </cell>
          <cell r="I22">
            <v>1074310.5425999979</v>
          </cell>
          <cell r="P22">
            <v>1146586.0240999977</v>
          </cell>
          <cell r="W22">
            <v>-42.367882000000002</v>
          </cell>
          <cell r="AD22">
            <v>-43.005085489999999</v>
          </cell>
          <cell r="AK22">
            <v>-44.080187930000001</v>
          </cell>
          <cell r="AR22">
            <v>-44.504267829999996</v>
          </cell>
          <cell r="AY22">
            <v>-44.135365479999997</v>
          </cell>
          <cell r="BF22">
            <v>-43</v>
          </cell>
          <cell r="BN22">
            <v>-45</v>
          </cell>
          <cell r="BV22">
            <v>-44</v>
          </cell>
          <cell r="CI22">
            <v>-49</v>
          </cell>
        </row>
        <row r="23">
          <cell r="B23">
            <v>36916.785999999971</v>
          </cell>
          <cell r="I23">
            <v>42253.789900000011</v>
          </cell>
          <cell r="P23">
            <v>43100.285500000013</v>
          </cell>
        </row>
      </sheetData>
      <sheetData sheetId="1">
        <row r="19">
          <cell r="A19" t="str">
            <v>South Canterbury DHB</v>
          </cell>
          <cell r="B19">
            <v>137820</v>
          </cell>
          <cell r="C19">
            <v>132965</v>
          </cell>
          <cell r="D19">
            <v>4855</v>
          </cell>
          <cell r="F19">
            <v>61902</v>
          </cell>
          <cell r="G19">
            <v>61468</v>
          </cell>
          <cell r="H19">
            <v>434</v>
          </cell>
          <cell r="J19">
            <v>73177</v>
          </cell>
          <cell r="K19">
            <v>71347</v>
          </cell>
          <cell r="L19">
            <v>1830</v>
          </cell>
          <cell r="N19" t="str">
            <v>South Canterbury DHB</v>
          </cell>
          <cell r="O19">
            <v>150193</v>
          </cell>
          <cell r="P19">
            <v>144906</v>
          </cell>
          <cell r="Q19">
            <v>5287</v>
          </cell>
          <cell r="S19">
            <v>67969</v>
          </cell>
          <cell r="T19">
            <v>65117</v>
          </cell>
          <cell r="U19">
            <v>-2852</v>
          </cell>
          <cell r="W19">
            <v>76598.5</v>
          </cell>
          <cell r="X19">
            <v>78847</v>
          </cell>
          <cell r="Y19">
            <v>2248.5</v>
          </cell>
          <cell r="AA19" t="str">
            <v>South Canterbury DHB</v>
          </cell>
          <cell r="AB19">
            <v>155550</v>
          </cell>
          <cell r="AC19">
            <v>152998</v>
          </cell>
          <cell r="AD19">
            <v>2552</v>
          </cell>
          <cell r="AF19">
            <v>72448</v>
          </cell>
          <cell r="AG19">
            <v>69772</v>
          </cell>
          <cell r="AH19">
            <v>-2676</v>
          </cell>
          <cell r="AJ19">
            <v>82039</v>
          </cell>
          <cell r="AK19">
            <v>83641</v>
          </cell>
          <cell r="AL19">
            <v>1602</v>
          </cell>
          <cell r="AN19" t="str">
            <v>South Canterbury DHB</v>
          </cell>
          <cell r="AO19">
            <v>161050</v>
          </cell>
          <cell r="AP19">
            <v>157372</v>
          </cell>
          <cell r="AQ19">
            <v>3678</v>
          </cell>
          <cell r="AS19">
            <v>76929</v>
          </cell>
          <cell r="AT19">
            <v>73402</v>
          </cell>
          <cell r="AU19">
            <v>-3527</v>
          </cell>
          <cell r="AW19">
            <v>82801</v>
          </cell>
          <cell r="AX19">
            <v>84170</v>
          </cell>
          <cell r="AY19">
            <v>1369</v>
          </cell>
        </row>
        <row r="20">
          <cell r="A20" t="str">
            <v>Tairawhiti DHB</v>
          </cell>
          <cell r="B20">
            <v>114032.43500000004</v>
          </cell>
          <cell r="C20">
            <v>112164.26890000005</v>
          </cell>
          <cell r="D20">
            <v>1868.1660999999876</v>
          </cell>
          <cell r="F20">
            <v>59905.202000000005</v>
          </cell>
          <cell r="G20">
            <v>60137.350799999927</v>
          </cell>
          <cell r="H20">
            <v>-232.14879999992263</v>
          </cell>
          <cell r="J20">
            <v>54036.736999999848</v>
          </cell>
          <cell r="K20">
            <v>52332.084699999963</v>
          </cell>
          <cell r="L20">
            <v>1704.6522999998851</v>
          </cell>
          <cell r="N20" t="str">
            <v>Tairawhiti DHB</v>
          </cell>
          <cell r="O20">
            <v>123259.44899999998</v>
          </cell>
          <cell r="P20">
            <v>124532.69160000008</v>
          </cell>
          <cell r="Q20">
            <v>-1273.2426000000996</v>
          </cell>
          <cell r="S20">
            <v>63072.707000000002</v>
          </cell>
          <cell r="T20">
            <v>65809.214099999954</v>
          </cell>
          <cell r="U20">
            <v>2736.5070999999516</v>
          </cell>
          <cell r="W20">
            <v>59444.992999999995</v>
          </cell>
          <cell r="X20">
            <v>60422.348400000032</v>
          </cell>
          <cell r="Y20">
            <v>977.35540000003675</v>
          </cell>
          <cell r="AA20" t="str">
            <v>Tairawhiti DHB</v>
          </cell>
          <cell r="AB20">
            <v>135246.85</v>
          </cell>
          <cell r="AC20">
            <v>132393.92110000007</v>
          </cell>
          <cell r="AD20">
            <v>2852.9288999999408</v>
          </cell>
          <cell r="AF20">
            <v>71058.962</v>
          </cell>
          <cell r="AG20">
            <v>72380.59239999998</v>
          </cell>
          <cell r="AH20">
            <v>1321.63039999998</v>
          </cell>
          <cell r="AJ20">
            <v>64094.02199999991</v>
          </cell>
          <cell r="AK20">
            <v>60262.938500000062</v>
          </cell>
          <cell r="AL20">
            <v>-3831.0834999998478</v>
          </cell>
          <cell r="AN20" t="str">
            <v>Tairawhiti DHB</v>
          </cell>
          <cell r="AO20">
            <v>142271.027</v>
          </cell>
          <cell r="AP20">
            <v>140003</v>
          </cell>
          <cell r="AQ20">
            <v>2268.0270000000019</v>
          </cell>
          <cell r="AS20">
            <v>75051.498000000007</v>
          </cell>
          <cell r="AT20">
            <v>74171.575499999992</v>
          </cell>
          <cell r="AU20">
            <v>-879.92250000001513</v>
          </cell>
          <cell r="AW20">
            <v>67716.86399999987</v>
          </cell>
          <cell r="AX20">
            <v>64935.204400000002</v>
          </cell>
          <cell r="AY20">
            <v>-2781.6595999998681</v>
          </cell>
        </row>
        <row r="21">
          <cell r="A21" t="str">
            <v>Wairarapa DHB</v>
          </cell>
          <cell r="B21">
            <v>102640</v>
          </cell>
          <cell r="C21">
            <v>98738</v>
          </cell>
          <cell r="D21">
            <v>3902</v>
          </cell>
          <cell r="F21">
            <v>45579</v>
          </cell>
          <cell r="G21">
            <v>42806.782800000045</v>
          </cell>
          <cell r="H21">
            <v>2772.2171999999555</v>
          </cell>
          <cell r="J21">
            <v>55529</v>
          </cell>
          <cell r="K21">
            <v>55931.217199999955</v>
          </cell>
          <cell r="L21">
            <v>-402.21719999995548</v>
          </cell>
          <cell r="N21" t="str">
            <v>Wairarapa DHB</v>
          </cell>
          <cell r="O21">
            <v>111315</v>
          </cell>
          <cell r="P21">
            <v>106123</v>
          </cell>
          <cell r="Q21">
            <v>5192</v>
          </cell>
          <cell r="S21">
            <v>50376</v>
          </cell>
          <cell r="T21">
            <v>47448</v>
          </cell>
          <cell r="U21">
            <v>-2928</v>
          </cell>
          <cell r="W21">
            <v>61691</v>
          </cell>
          <cell r="X21">
            <v>58675</v>
          </cell>
          <cell r="Y21">
            <v>-3016</v>
          </cell>
          <cell r="AA21" t="str">
            <v>Wairarapa DHB</v>
          </cell>
          <cell r="AB21">
            <v>113875</v>
          </cell>
          <cell r="AC21">
            <v>112968</v>
          </cell>
          <cell r="AD21">
            <v>907</v>
          </cell>
          <cell r="AF21">
            <v>51132</v>
          </cell>
          <cell r="AG21">
            <v>51888</v>
          </cell>
          <cell r="AH21">
            <v>756</v>
          </cell>
          <cell r="AJ21">
            <v>66395</v>
          </cell>
          <cell r="AK21">
            <v>62037.99990000001</v>
          </cell>
          <cell r="AL21">
            <v>-4357.0000999999902</v>
          </cell>
          <cell r="AN21" t="str">
            <v>Wairarapa DHB</v>
          </cell>
          <cell r="AO21">
            <v>118833</v>
          </cell>
          <cell r="AP21">
            <v>115789.2</v>
          </cell>
          <cell r="AQ21">
            <v>3043.8</v>
          </cell>
          <cell r="AS21">
            <v>51713</v>
          </cell>
          <cell r="AT21">
            <v>51569.2</v>
          </cell>
          <cell r="AU21">
            <v>-143.79999999999563</v>
          </cell>
          <cell r="AW21">
            <v>68608</v>
          </cell>
          <cell r="AX21">
            <v>66408</v>
          </cell>
          <cell r="AY21">
            <v>-2200</v>
          </cell>
        </row>
        <row r="22">
          <cell r="A22" t="str">
            <v>West Coast DHB</v>
          </cell>
          <cell r="B22">
            <v>100694</v>
          </cell>
          <cell r="C22">
            <v>96842.484399999972</v>
          </cell>
          <cell r="D22">
            <v>3851.5156000000279</v>
          </cell>
          <cell r="F22">
            <v>53786</v>
          </cell>
          <cell r="G22">
            <v>52264.477199999936</v>
          </cell>
          <cell r="H22">
            <v>1521.5228000000643</v>
          </cell>
          <cell r="J22">
            <v>37980</v>
          </cell>
          <cell r="K22">
            <v>37982.338800000303</v>
          </cell>
          <cell r="L22">
            <v>-2.3388000003033085</v>
          </cell>
          <cell r="N22" t="str">
            <v>West Coast DHB</v>
          </cell>
          <cell r="O22">
            <v>108092</v>
          </cell>
          <cell r="P22">
            <v>105546.00120000004</v>
          </cell>
          <cell r="Q22">
            <v>2545.9987999999576</v>
          </cell>
          <cell r="S22">
            <v>58330</v>
          </cell>
          <cell r="T22">
            <v>58119.06680000003</v>
          </cell>
          <cell r="U22">
            <v>-210.93319999997038</v>
          </cell>
          <cell r="W22">
            <v>41076</v>
          </cell>
          <cell r="X22">
            <v>41546.666400000002</v>
          </cell>
          <cell r="Y22">
            <v>470.66640000000189</v>
          </cell>
          <cell r="AA22" t="str">
            <v>West Coast DHB</v>
          </cell>
          <cell r="AB22">
            <v>115030</v>
          </cell>
          <cell r="AC22">
            <v>113550.16200000001</v>
          </cell>
          <cell r="AD22">
            <v>1479.8379999999888</v>
          </cell>
          <cell r="AF22">
            <v>63676</v>
          </cell>
          <cell r="AG22">
            <v>62304.016800000005</v>
          </cell>
          <cell r="AH22">
            <v>-1371.9831999999951</v>
          </cell>
          <cell r="AJ22">
            <v>45390</v>
          </cell>
          <cell r="AK22">
            <v>46680.834000000359</v>
          </cell>
          <cell r="AL22">
            <v>1290.8340000003591</v>
          </cell>
          <cell r="AN22" t="str">
            <v>West Coast DHB</v>
          </cell>
          <cell r="AO22">
            <v>118120</v>
          </cell>
          <cell r="AP22">
            <v>116337.00089999998</v>
          </cell>
          <cell r="AQ22">
            <v>1782.9991000000155</v>
          </cell>
          <cell r="AS22">
            <v>64680</v>
          </cell>
          <cell r="AT22">
            <v>62987.188799999974</v>
          </cell>
          <cell r="AU22">
            <v>-1692.8112000000256</v>
          </cell>
          <cell r="AW22">
            <v>45981</v>
          </cell>
          <cell r="AX22">
            <v>47666.205199999982</v>
          </cell>
          <cell r="AY22">
            <v>1685.2051999999821</v>
          </cell>
        </row>
        <row r="23">
          <cell r="A23" t="str">
            <v>Whanganui DHB</v>
          </cell>
          <cell r="B23">
            <v>171014</v>
          </cell>
          <cell r="C23">
            <v>166478</v>
          </cell>
          <cell r="D23">
            <v>4536</v>
          </cell>
          <cell r="F23">
            <v>83559</v>
          </cell>
          <cell r="G23">
            <v>80027</v>
          </cell>
          <cell r="H23">
            <v>3532</v>
          </cell>
          <cell r="J23">
            <v>84776</v>
          </cell>
          <cell r="K23">
            <v>86247</v>
          </cell>
          <cell r="L23">
            <v>-1471</v>
          </cell>
          <cell r="N23" t="str">
            <v>Whanganui DHB</v>
          </cell>
          <cell r="O23">
            <v>185045</v>
          </cell>
          <cell r="P23">
            <v>181677</v>
          </cell>
          <cell r="Q23">
            <v>3368</v>
          </cell>
          <cell r="S23">
            <v>89504</v>
          </cell>
          <cell r="T23">
            <v>84437</v>
          </cell>
          <cell r="U23">
            <v>-5067</v>
          </cell>
          <cell r="W23">
            <v>95166</v>
          </cell>
          <cell r="X23">
            <v>98237</v>
          </cell>
          <cell r="Y23">
            <v>3071</v>
          </cell>
          <cell r="AA23" t="str">
            <v>Whanganui DHB</v>
          </cell>
          <cell r="AB23">
            <v>196551</v>
          </cell>
          <cell r="AC23">
            <v>194247</v>
          </cell>
          <cell r="AD23">
            <v>2304</v>
          </cell>
          <cell r="AF23">
            <v>97346</v>
          </cell>
          <cell r="AG23">
            <v>96851</v>
          </cell>
          <cell r="AH23">
            <v>-495</v>
          </cell>
          <cell r="AJ23">
            <v>99576</v>
          </cell>
          <cell r="AK23">
            <v>100959</v>
          </cell>
          <cell r="AL23">
            <v>1383</v>
          </cell>
          <cell r="AN23" t="str">
            <v>Whanganui DHB</v>
          </cell>
          <cell r="AO23">
            <v>202839</v>
          </cell>
          <cell r="AP23">
            <v>199499</v>
          </cell>
          <cell r="AQ23">
            <v>3340</v>
          </cell>
          <cell r="AS23">
            <v>98277</v>
          </cell>
          <cell r="AT23">
            <v>96483</v>
          </cell>
          <cell r="AU23">
            <v>-1794</v>
          </cell>
          <cell r="AW23">
            <v>100890</v>
          </cell>
          <cell r="AX23">
            <v>104088</v>
          </cell>
          <cell r="AY23">
            <v>3198</v>
          </cell>
        </row>
        <row r="24">
          <cell r="A24" t="str">
            <v>Medium</v>
          </cell>
          <cell r="N24" t="str">
            <v>Medium</v>
          </cell>
          <cell r="AA24" t="str">
            <v>Medium</v>
          </cell>
          <cell r="AN24" t="str">
            <v>Medium</v>
          </cell>
        </row>
        <row r="25">
          <cell r="A25" t="str">
            <v>Bay of Plenty DHB</v>
          </cell>
          <cell r="B25">
            <v>476943</v>
          </cell>
          <cell r="C25">
            <v>468785</v>
          </cell>
          <cell r="D25">
            <v>8158</v>
          </cell>
          <cell r="F25">
            <v>236677</v>
          </cell>
          <cell r="G25">
            <v>228773</v>
          </cell>
          <cell r="H25">
            <v>7904</v>
          </cell>
          <cell r="J25">
            <v>240909</v>
          </cell>
          <cell r="K25">
            <v>242279</v>
          </cell>
          <cell r="L25">
            <v>-1370</v>
          </cell>
          <cell r="N25" t="str">
            <v>Bay of Plenty DHB</v>
          </cell>
          <cell r="O25">
            <v>523158</v>
          </cell>
          <cell r="P25">
            <v>515907</v>
          </cell>
          <cell r="Q25">
            <v>7251</v>
          </cell>
          <cell r="S25">
            <v>261231</v>
          </cell>
          <cell r="T25">
            <v>254619</v>
          </cell>
          <cell r="U25">
            <v>-6612</v>
          </cell>
          <cell r="W25">
            <v>263315</v>
          </cell>
          <cell r="X25">
            <v>263185</v>
          </cell>
          <cell r="Y25">
            <v>-130</v>
          </cell>
          <cell r="AA25" t="str">
            <v>Bay of Plenty DHB</v>
          </cell>
          <cell r="AB25">
            <v>558178</v>
          </cell>
          <cell r="AC25">
            <v>555971</v>
          </cell>
          <cell r="AD25">
            <v>2207</v>
          </cell>
          <cell r="AF25">
            <v>276195</v>
          </cell>
          <cell r="AG25">
            <v>274710</v>
          </cell>
          <cell r="AH25">
            <v>-1485</v>
          </cell>
          <cell r="AJ25">
            <v>283378</v>
          </cell>
          <cell r="AK25">
            <v>283113</v>
          </cell>
          <cell r="AL25">
            <v>-265</v>
          </cell>
          <cell r="AN25" t="str">
            <v>Bay of Plenty DHB</v>
          </cell>
          <cell r="AO25">
            <v>584202</v>
          </cell>
          <cell r="AP25">
            <v>573255</v>
          </cell>
          <cell r="AQ25">
            <v>10947</v>
          </cell>
          <cell r="AS25">
            <v>284503</v>
          </cell>
          <cell r="AT25">
            <v>283233</v>
          </cell>
          <cell r="AU25">
            <v>-1270</v>
          </cell>
          <cell r="AW25">
            <v>301286</v>
          </cell>
          <cell r="AX25">
            <v>290513</v>
          </cell>
          <cell r="AY25">
            <v>-10773</v>
          </cell>
        </row>
        <row r="26">
          <cell r="A26" t="str">
            <v>Hawke's Bay DHB</v>
          </cell>
          <cell r="B26">
            <v>354981.35349999997</v>
          </cell>
          <cell r="C26">
            <v>343215.14079999994</v>
          </cell>
          <cell r="D26">
            <v>11766.212700000033</v>
          </cell>
          <cell r="F26">
            <v>181526.68520000009</v>
          </cell>
          <cell r="G26">
            <v>175555.79689999993</v>
          </cell>
          <cell r="H26">
            <v>5970.8883000001661</v>
          </cell>
          <cell r="J26">
            <v>169352.08829999997</v>
          </cell>
          <cell r="K26">
            <v>167659.34269999966</v>
          </cell>
          <cell r="L26">
            <v>1692.7456000003149</v>
          </cell>
          <cell r="N26" t="str">
            <v>Hawke's Bay DHB</v>
          </cell>
          <cell r="O26">
            <v>383625.96539999993</v>
          </cell>
          <cell r="P26">
            <v>370622.1852999999</v>
          </cell>
          <cell r="Q26">
            <v>13003.780100000033</v>
          </cell>
          <cell r="S26">
            <v>197173.109</v>
          </cell>
          <cell r="T26">
            <v>193432.193</v>
          </cell>
          <cell r="U26">
            <v>-3740.9159999999974</v>
          </cell>
          <cell r="W26">
            <v>187218.96100000001</v>
          </cell>
          <cell r="X26">
            <v>174020.59469999999</v>
          </cell>
          <cell r="Y26">
            <v>-13198.366300000023</v>
          </cell>
          <cell r="AA26" t="str">
            <v>Hawke's Bay DHB</v>
          </cell>
          <cell r="AB26">
            <v>403651.40930000017</v>
          </cell>
          <cell r="AC26">
            <v>399858.00040000002</v>
          </cell>
          <cell r="AD26">
            <v>3793.408900000155</v>
          </cell>
          <cell r="AF26">
            <v>210367.84570000009</v>
          </cell>
          <cell r="AG26">
            <v>203251.87279999987</v>
          </cell>
          <cell r="AH26">
            <v>-7115.9729000002262</v>
          </cell>
          <cell r="AJ26">
            <v>197440.02149999983</v>
          </cell>
          <cell r="AK26">
            <v>200760.39400000105</v>
          </cell>
          <cell r="AL26">
            <v>3320.37250000122</v>
          </cell>
          <cell r="AN26" t="str">
            <v>Hawke's Bay DHB</v>
          </cell>
          <cell r="AO26">
            <v>419812.72859999997</v>
          </cell>
          <cell r="AP26">
            <v>416935.34879999998</v>
          </cell>
          <cell r="AQ26">
            <v>2877.3797999999952</v>
          </cell>
          <cell r="AS26">
            <v>216718.79060000009</v>
          </cell>
          <cell r="AT26">
            <v>214929.77359999975</v>
          </cell>
          <cell r="AU26">
            <v>-1789.0170000003418</v>
          </cell>
          <cell r="AW26">
            <v>198581.49099999995</v>
          </cell>
          <cell r="AX26">
            <v>202006.06949999995</v>
          </cell>
          <cell r="AY26">
            <v>3424.5785000000033</v>
          </cell>
        </row>
        <row r="27">
          <cell r="A27" t="str">
            <v>Hutt Valley DHB</v>
          </cell>
          <cell r="B27">
            <v>331691</v>
          </cell>
          <cell r="C27">
            <v>315482</v>
          </cell>
          <cell r="D27">
            <v>16209</v>
          </cell>
          <cell r="F27">
            <v>137849</v>
          </cell>
          <cell r="G27">
            <v>138986</v>
          </cell>
          <cell r="H27">
            <v>-1137</v>
          </cell>
          <cell r="J27">
            <v>192439</v>
          </cell>
          <cell r="K27">
            <v>175796</v>
          </cell>
          <cell r="L27">
            <v>16643</v>
          </cell>
          <cell r="N27" t="str">
            <v>Hutt Valley DHB</v>
          </cell>
          <cell r="O27">
            <v>359422</v>
          </cell>
          <cell r="P27">
            <v>352595</v>
          </cell>
          <cell r="Q27">
            <v>6827</v>
          </cell>
          <cell r="S27">
            <v>156467</v>
          </cell>
          <cell r="T27">
            <v>153267</v>
          </cell>
          <cell r="U27">
            <v>-3200</v>
          </cell>
          <cell r="W27">
            <v>206520.5</v>
          </cell>
          <cell r="X27">
            <v>197357</v>
          </cell>
          <cell r="Y27">
            <v>-9163.5</v>
          </cell>
          <cell r="AA27" t="str">
            <v>Hutt Valley DHB</v>
          </cell>
          <cell r="AB27">
            <v>384852</v>
          </cell>
          <cell r="AC27">
            <v>380643</v>
          </cell>
          <cell r="AD27">
            <v>4209</v>
          </cell>
          <cell r="AF27">
            <v>169228</v>
          </cell>
          <cell r="AG27">
            <v>165359</v>
          </cell>
          <cell r="AH27">
            <v>-3869</v>
          </cell>
          <cell r="AJ27">
            <v>216552</v>
          </cell>
          <cell r="AK27">
            <v>218453</v>
          </cell>
          <cell r="AL27">
            <v>1901</v>
          </cell>
          <cell r="AN27" t="str">
            <v>Hutt Valley DHB</v>
          </cell>
          <cell r="AO27">
            <v>381626</v>
          </cell>
          <cell r="AP27">
            <v>393926</v>
          </cell>
          <cell r="AQ27">
            <v>-12300</v>
          </cell>
          <cell r="AS27">
            <v>175039</v>
          </cell>
          <cell r="AT27">
            <v>172097</v>
          </cell>
          <cell r="AU27">
            <v>-2942</v>
          </cell>
          <cell r="AW27">
            <v>206410</v>
          </cell>
          <cell r="AX27">
            <v>222817</v>
          </cell>
          <cell r="AY27">
            <v>16407</v>
          </cell>
        </row>
        <row r="28">
          <cell r="A28" t="str">
            <v>Lakes DHB</v>
          </cell>
          <cell r="B28">
            <v>240082</v>
          </cell>
          <cell r="C28">
            <v>232705</v>
          </cell>
          <cell r="D28">
            <v>7377</v>
          </cell>
          <cell r="F28">
            <v>114174</v>
          </cell>
          <cell r="G28">
            <v>108908</v>
          </cell>
          <cell r="H28">
            <v>5266</v>
          </cell>
          <cell r="J28">
            <v>122516</v>
          </cell>
          <cell r="K28">
            <v>126298</v>
          </cell>
          <cell r="L28">
            <v>-3782</v>
          </cell>
          <cell r="N28" t="str">
            <v>Lakes DHB</v>
          </cell>
          <cell r="O28">
            <v>264734</v>
          </cell>
          <cell r="P28">
            <v>250042</v>
          </cell>
          <cell r="Q28">
            <v>14692</v>
          </cell>
          <cell r="S28">
            <v>121829</v>
          </cell>
          <cell r="T28">
            <v>111904</v>
          </cell>
          <cell r="U28">
            <v>-9925</v>
          </cell>
          <cell r="W28">
            <v>135107</v>
          </cell>
          <cell r="X28">
            <v>138138</v>
          </cell>
          <cell r="Y28">
            <v>3031</v>
          </cell>
          <cell r="AA28" t="str">
            <v>Lakes DHB</v>
          </cell>
          <cell r="AB28">
            <v>277576</v>
          </cell>
          <cell r="AC28">
            <v>274248</v>
          </cell>
          <cell r="AD28">
            <v>3328</v>
          </cell>
          <cell r="AF28">
            <v>132044.56429999997</v>
          </cell>
          <cell r="AG28">
            <v>128913</v>
          </cell>
          <cell r="AH28">
            <v>-3131.5642999999691</v>
          </cell>
          <cell r="AJ28">
            <v>142138.43570000003</v>
          </cell>
          <cell r="AK28">
            <v>145427</v>
          </cell>
          <cell r="AL28">
            <v>3288.5642999999691</v>
          </cell>
          <cell r="AN28" t="str">
            <v>Lakes DHB</v>
          </cell>
          <cell r="AO28">
            <v>285222</v>
          </cell>
          <cell r="AP28">
            <v>277418</v>
          </cell>
          <cell r="AQ28">
            <v>7804</v>
          </cell>
          <cell r="AS28">
            <v>135009</v>
          </cell>
          <cell r="AT28">
            <v>133011</v>
          </cell>
          <cell r="AU28">
            <v>-1998</v>
          </cell>
          <cell r="AW28">
            <v>152613</v>
          </cell>
          <cell r="AX28">
            <v>147440</v>
          </cell>
          <cell r="AY28">
            <v>-5173</v>
          </cell>
        </row>
        <row r="29">
          <cell r="A29" t="str">
            <v>MidCentral DHB</v>
          </cell>
          <cell r="B29">
            <v>396186</v>
          </cell>
          <cell r="C29">
            <v>382249</v>
          </cell>
          <cell r="D29">
            <v>13937</v>
          </cell>
          <cell r="F29">
            <v>210613</v>
          </cell>
          <cell r="G29">
            <v>200937</v>
          </cell>
          <cell r="H29">
            <v>9676</v>
          </cell>
          <cell r="J29">
            <v>181974</v>
          </cell>
          <cell r="K29">
            <v>185162</v>
          </cell>
          <cell r="L29">
            <v>-3188</v>
          </cell>
          <cell r="N29" t="str">
            <v>MidCentral DHB</v>
          </cell>
          <cell r="O29">
            <v>419601</v>
          </cell>
          <cell r="P29">
            <v>412254</v>
          </cell>
          <cell r="Q29">
            <v>7347</v>
          </cell>
          <cell r="S29">
            <v>224667</v>
          </cell>
          <cell r="T29">
            <v>221802</v>
          </cell>
          <cell r="U29">
            <v>-2865</v>
          </cell>
          <cell r="W29">
            <v>194549</v>
          </cell>
          <cell r="X29">
            <v>192117</v>
          </cell>
          <cell r="Y29">
            <v>-2432</v>
          </cell>
          <cell r="AA29" t="str">
            <v>MidCentral DHB</v>
          </cell>
          <cell r="AB29">
            <v>451490</v>
          </cell>
          <cell r="AC29">
            <v>448646</v>
          </cell>
          <cell r="AD29">
            <v>2844</v>
          </cell>
          <cell r="AF29">
            <v>240152</v>
          </cell>
          <cell r="AG29">
            <v>237866</v>
          </cell>
          <cell r="AH29">
            <v>-2286</v>
          </cell>
          <cell r="AJ29">
            <v>212104</v>
          </cell>
          <cell r="AK29">
            <v>213700</v>
          </cell>
          <cell r="AL29">
            <v>1596</v>
          </cell>
          <cell r="AN29" t="str">
            <v>MidCentral DHB</v>
          </cell>
          <cell r="AO29">
            <v>470936</v>
          </cell>
          <cell r="AP29">
            <v>461813</v>
          </cell>
          <cell r="AQ29">
            <v>9123</v>
          </cell>
          <cell r="AS29">
            <v>249515</v>
          </cell>
          <cell r="AT29">
            <v>245366</v>
          </cell>
          <cell r="AU29">
            <v>-4149</v>
          </cell>
          <cell r="AW29">
            <v>215354</v>
          </cell>
          <cell r="AX29">
            <v>216947</v>
          </cell>
          <cell r="AY29">
            <v>1593</v>
          </cell>
        </row>
        <row r="30">
          <cell r="A30" t="str">
            <v>Nelson Marlborough DHB</v>
          </cell>
          <cell r="B30">
            <v>314102</v>
          </cell>
          <cell r="C30">
            <v>304794.8</v>
          </cell>
          <cell r="D30">
            <v>9307.2000000000116</v>
          </cell>
          <cell r="F30">
            <v>168132</v>
          </cell>
          <cell r="G30">
            <v>165012</v>
          </cell>
          <cell r="H30">
            <v>3120</v>
          </cell>
          <cell r="J30">
            <v>138204</v>
          </cell>
          <cell r="K30">
            <v>143666</v>
          </cell>
          <cell r="L30">
            <v>-5462</v>
          </cell>
          <cell r="N30" t="str">
            <v>Nelson Marlborough DHB</v>
          </cell>
          <cell r="O30">
            <v>337873</v>
          </cell>
          <cell r="P30">
            <v>327696.15999999997</v>
          </cell>
          <cell r="Q30">
            <v>10176.84</v>
          </cell>
          <cell r="S30">
            <v>187936</v>
          </cell>
          <cell r="T30">
            <v>181244.1</v>
          </cell>
          <cell r="U30">
            <v>-6691.9000000000233</v>
          </cell>
          <cell r="W30">
            <v>150850</v>
          </cell>
          <cell r="X30">
            <v>152186.79999999999</v>
          </cell>
          <cell r="Y30">
            <v>1336.8000000000466</v>
          </cell>
          <cell r="AA30" t="str">
            <v>Nelson Marlborough DHB</v>
          </cell>
          <cell r="AB30">
            <v>346725.68549999996</v>
          </cell>
          <cell r="AC30">
            <v>344277.13</v>
          </cell>
          <cell r="AD30">
            <v>2448.5554999999586</v>
          </cell>
          <cell r="AF30">
            <v>190550.85149999996</v>
          </cell>
          <cell r="AG30">
            <v>190038.95</v>
          </cell>
          <cell r="AH30">
            <v>-511.90149999994901</v>
          </cell>
          <cell r="AJ30">
            <v>160408.8345000002</v>
          </cell>
          <cell r="AK30">
            <v>159202.39000000001</v>
          </cell>
          <cell r="AL30">
            <v>-1206.444500000187</v>
          </cell>
          <cell r="AN30" t="str">
            <v>Nelson Marlborough DHB</v>
          </cell>
          <cell r="AO30">
            <v>359496.56829999987</v>
          </cell>
          <cell r="AP30">
            <v>355100</v>
          </cell>
          <cell r="AQ30">
            <v>4396.568299999868</v>
          </cell>
          <cell r="AS30">
            <v>194838.74130000008</v>
          </cell>
          <cell r="AT30">
            <v>194382</v>
          </cell>
          <cell r="AU30">
            <v>-456.74130000008154</v>
          </cell>
          <cell r="AW30">
            <v>164290.36849999966</v>
          </cell>
          <cell r="AX30">
            <v>163496</v>
          </cell>
          <cell r="AY30">
            <v>-794.36849999966216</v>
          </cell>
        </row>
        <row r="31">
          <cell r="A31" t="str">
            <v>Northland DHB</v>
          </cell>
          <cell r="B31">
            <v>378655.76340000005</v>
          </cell>
          <cell r="C31">
            <v>371458.51329999999</v>
          </cell>
          <cell r="D31">
            <v>7197.250100000063</v>
          </cell>
          <cell r="F31">
            <v>181783.12549999997</v>
          </cell>
          <cell r="G31">
            <v>175883.66939999998</v>
          </cell>
          <cell r="H31">
            <v>5899.4560999999812</v>
          </cell>
          <cell r="J31">
            <v>196045.39559999987</v>
          </cell>
          <cell r="K31">
            <v>195575.94719999962</v>
          </cell>
          <cell r="L31">
            <v>469.44840000025579</v>
          </cell>
          <cell r="N31" t="str">
            <v>Northland DHB</v>
          </cell>
          <cell r="O31">
            <v>422578.02</v>
          </cell>
          <cell r="P31">
            <v>409378.18680000002</v>
          </cell>
          <cell r="Q31">
            <v>13199.833199999994</v>
          </cell>
          <cell r="S31">
            <v>202988.98349999983</v>
          </cell>
          <cell r="T31">
            <v>200860.17</v>
          </cell>
          <cell r="U31">
            <v>-2128.813499999902</v>
          </cell>
          <cell r="W31">
            <v>213996.11040000021</v>
          </cell>
          <cell r="X31">
            <v>208518.00240000006</v>
          </cell>
          <cell r="Y31">
            <v>-5478.108000000153</v>
          </cell>
          <cell r="AA31" t="str">
            <v>Northland DHB</v>
          </cell>
          <cell r="AB31">
            <v>451309.45610000018</v>
          </cell>
          <cell r="AC31">
            <v>445515.9671999999</v>
          </cell>
          <cell r="AD31">
            <v>5793.4889000002877</v>
          </cell>
          <cell r="AF31">
            <v>227009.95099999997</v>
          </cell>
          <cell r="AG31">
            <v>218067.33079999997</v>
          </cell>
          <cell r="AH31">
            <v>-8942.6202000000048</v>
          </cell>
          <cell r="AJ31">
            <v>220041.78999999914</v>
          </cell>
          <cell r="AK31">
            <v>227449.03480000087</v>
          </cell>
          <cell r="AL31">
            <v>7407.2448000017321</v>
          </cell>
          <cell r="AN31" t="str">
            <v>Northland DHB</v>
          </cell>
          <cell r="AO31">
            <v>465063.59599999996</v>
          </cell>
          <cell r="AP31">
            <v>458947.38199999987</v>
          </cell>
          <cell r="AQ31">
            <v>6116.2140000000945</v>
          </cell>
          <cell r="AS31">
            <v>236476.93300000005</v>
          </cell>
          <cell r="AT31">
            <v>227425.77190000005</v>
          </cell>
          <cell r="AU31">
            <v>-9051.1610999999975</v>
          </cell>
          <cell r="AW31">
            <v>224419.04419999997</v>
          </cell>
          <cell r="AX31">
            <v>231521.94620000001</v>
          </cell>
          <cell r="AY31">
            <v>7102.902000000031</v>
          </cell>
        </row>
        <row r="32">
          <cell r="A32" t="str">
            <v>Southland DHB</v>
          </cell>
          <cell r="B32">
            <v>236868.34</v>
          </cell>
          <cell r="C32">
            <v>232897.00030000001</v>
          </cell>
          <cell r="D32">
            <v>3971.3396999999823</v>
          </cell>
          <cell r="F32">
            <v>109614.58</v>
          </cell>
          <cell r="G32">
            <v>109827.22279999999</v>
          </cell>
          <cell r="H32">
            <v>-212.64279999998689</v>
          </cell>
          <cell r="J32">
            <v>122436.19</v>
          </cell>
          <cell r="K32">
            <v>122632.72940000021</v>
          </cell>
          <cell r="L32">
            <v>-196.53940000022703</v>
          </cell>
          <cell r="N32" t="str">
            <v>Southland DHB</v>
          </cell>
          <cell r="O32">
            <v>249300.77410000001</v>
          </cell>
          <cell r="P32">
            <v>246219.00040000002</v>
          </cell>
          <cell r="Q32">
            <v>3081.7736999999906</v>
          </cell>
          <cell r="S32">
            <v>122750.26780000003</v>
          </cell>
          <cell r="T32">
            <v>120113.32759999995</v>
          </cell>
          <cell r="U32">
            <v>-2636.9402000000846</v>
          </cell>
          <cell r="W32">
            <v>128736.9719</v>
          </cell>
          <cell r="X32">
            <v>128252.39489999988</v>
          </cell>
          <cell r="Y32">
            <v>-484.57700000012119</v>
          </cell>
          <cell r="AA32" t="str">
            <v>Taranaki DHB</v>
          </cell>
          <cell r="AB32">
            <v>283529</v>
          </cell>
          <cell r="AC32">
            <v>277352</v>
          </cell>
          <cell r="AD32">
            <v>6177</v>
          </cell>
          <cell r="AF32">
            <v>145405</v>
          </cell>
          <cell r="AG32">
            <v>145364</v>
          </cell>
          <cell r="AH32">
            <v>-41</v>
          </cell>
          <cell r="AJ32">
            <v>133583</v>
          </cell>
          <cell r="AK32">
            <v>127991</v>
          </cell>
          <cell r="AL32">
            <v>-5592</v>
          </cell>
          <cell r="AN32" t="str">
            <v>Taranaki DHB</v>
          </cell>
          <cell r="AO32">
            <v>293276</v>
          </cell>
          <cell r="AP32">
            <v>287515</v>
          </cell>
          <cell r="AQ32">
            <v>5761</v>
          </cell>
          <cell r="AS32">
            <v>149928</v>
          </cell>
          <cell r="AT32">
            <v>147347</v>
          </cell>
          <cell r="AU32">
            <v>-2581</v>
          </cell>
          <cell r="AW32">
            <v>134529</v>
          </cell>
          <cell r="AX32">
            <v>133743</v>
          </cell>
          <cell r="AY32">
            <v>-786</v>
          </cell>
        </row>
        <row r="33">
          <cell r="A33" t="str">
            <v>Taranaki DHB</v>
          </cell>
          <cell r="B33">
            <v>250828</v>
          </cell>
          <cell r="C33">
            <v>242819</v>
          </cell>
          <cell r="D33">
            <v>8009</v>
          </cell>
          <cell r="F33">
            <v>131783</v>
          </cell>
          <cell r="G33">
            <v>126428</v>
          </cell>
          <cell r="H33">
            <v>5355</v>
          </cell>
          <cell r="J33">
            <v>113344</v>
          </cell>
          <cell r="K33">
            <v>118356</v>
          </cell>
          <cell r="L33">
            <v>-5012</v>
          </cell>
          <cell r="N33" t="str">
            <v>Taranaki DHB</v>
          </cell>
          <cell r="O33">
            <v>269596</v>
          </cell>
          <cell r="P33">
            <v>261278</v>
          </cell>
          <cell r="Q33">
            <v>8318</v>
          </cell>
          <cell r="S33">
            <v>141325</v>
          </cell>
          <cell r="T33">
            <v>137801</v>
          </cell>
          <cell r="U33">
            <v>-3524</v>
          </cell>
          <cell r="W33">
            <v>121209</v>
          </cell>
          <cell r="X33">
            <v>121923</v>
          </cell>
          <cell r="Y33">
            <v>714</v>
          </cell>
          <cell r="AA33" t="str">
            <v>Large</v>
          </cell>
          <cell r="AN33" t="str">
            <v>Large</v>
          </cell>
        </row>
        <row r="34">
          <cell r="A34" t="str">
            <v>Large</v>
          </cell>
          <cell r="N34" t="str">
            <v>Large</v>
          </cell>
          <cell r="AA34" t="str">
            <v>Auckland DHB</v>
          </cell>
          <cell r="AB34">
            <v>1546081.5879999995</v>
          </cell>
          <cell r="AC34">
            <v>1527231.0449999992</v>
          </cell>
          <cell r="AD34">
            <v>18850.543000000296</v>
          </cell>
          <cell r="AF34">
            <v>984963.84000000078</v>
          </cell>
          <cell r="AG34">
            <v>976602.63</v>
          </cell>
          <cell r="AH34">
            <v>-8361.2100000005448</v>
          </cell>
          <cell r="AJ34">
            <v>548840.39399999566</v>
          </cell>
          <cell r="AK34">
            <v>545518.50800000026</v>
          </cell>
          <cell r="AL34">
            <v>-3321.8859999954002</v>
          </cell>
          <cell r="AN34" t="str">
            <v>Auckland DHB</v>
          </cell>
          <cell r="AO34">
            <v>1651460.1569999997</v>
          </cell>
          <cell r="AP34">
            <v>1585024.9679999992</v>
          </cell>
          <cell r="AQ34">
            <v>66435.189000000479</v>
          </cell>
          <cell r="AS34">
            <v>1013355.7540000002</v>
          </cell>
          <cell r="AT34">
            <v>1008506.3160000008</v>
          </cell>
          <cell r="AU34">
            <v>-4849.4379999993835</v>
          </cell>
          <cell r="AW34">
            <v>617380.60099999467</v>
          </cell>
          <cell r="AX34">
            <v>575619.45509999804</v>
          </cell>
          <cell r="AY34">
            <v>-41761.145899996627</v>
          </cell>
        </row>
        <row r="35">
          <cell r="A35" t="str">
            <v>Auckland DHB</v>
          </cell>
          <cell r="B35">
            <v>1380558.5649999999</v>
          </cell>
          <cell r="C35">
            <v>1320590.0729999996</v>
          </cell>
          <cell r="D35">
            <v>59968.492000000319</v>
          </cell>
          <cell r="F35">
            <v>864646.01300000004</v>
          </cell>
          <cell r="G35">
            <v>824553.42</v>
          </cell>
          <cell r="H35">
            <v>40092.592999999993</v>
          </cell>
          <cell r="J35">
            <v>491822.63599999924</v>
          </cell>
          <cell r="K35">
            <v>491157.92499999783</v>
          </cell>
          <cell r="L35">
            <v>664.71100000140723</v>
          </cell>
          <cell r="N35" t="str">
            <v>Auckland DHB</v>
          </cell>
          <cell r="O35">
            <v>1463504.652</v>
          </cell>
          <cell r="P35">
            <v>1432194.7881999994</v>
          </cell>
          <cell r="Q35">
            <v>31309.863800000632</v>
          </cell>
          <cell r="S35">
            <v>905219.07699999993</v>
          </cell>
          <cell r="T35">
            <v>888467.9929999999</v>
          </cell>
          <cell r="U35">
            <v>-16751.084000000032</v>
          </cell>
          <cell r="W35">
            <v>523644.65200000245</v>
          </cell>
          <cell r="X35">
            <v>519339.63610000012</v>
          </cell>
          <cell r="Y35">
            <v>-4305.0159000023268</v>
          </cell>
          <cell r="AA35" t="str">
            <v>Canterbury DHB</v>
          </cell>
          <cell r="AB35">
            <v>1220392</v>
          </cell>
          <cell r="AC35">
            <v>1213185</v>
          </cell>
          <cell r="AD35">
            <v>7207</v>
          </cell>
          <cell r="AF35">
            <v>683169</v>
          </cell>
          <cell r="AG35">
            <v>674232</v>
          </cell>
          <cell r="AH35">
            <v>-8937</v>
          </cell>
          <cell r="AJ35">
            <v>539561</v>
          </cell>
          <cell r="AK35">
            <v>538953</v>
          </cell>
          <cell r="AL35">
            <v>-608</v>
          </cell>
          <cell r="AN35" t="str">
            <v>Canterbury DHB</v>
          </cell>
          <cell r="AO35">
            <v>1288618</v>
          </cell>
          <cell r="AP35">
            <v>1264929</v>
          </cell>
          <cell r="AQ35">
            <v>23689</v>
          </cell>
          <cell r="AS35">
            <v>717938</v>
          </cell>
          <cell r="AT35">
            <v>698494</v>
          </cell>
          <cell r="AU35">
            <v>-19444</v>
          </cell>
          <cell r="AW35">
            <v>570452</v>
          </cell>
          <cell r="AX35">
            <v>566435</v>
          </cell>
          <cell r="AY35">
            <v>-4017</v>
          </cell>
        </row>
        <row r="36">
          <cell r="A36" t="str">
            <v>Canterbury DHB</v>
          </cell>
          <cell r="B36">
            <v>1071753</v>
          </cell>
          <cell r="C36">
            <v>1056985</v>
          </cell>
          <cell r="D36">
            <v>14768</v>
          </cell>
          <cell r="F36">
            <v>595916</v>
          </cell>
          <cell r="G36">
            <v>595665</v>
          </cell>
          <cell r="H36">
            <v>251</v>
          </cell>
          <cell r="J36">
            <v>476802</v>
          </cell>
          <cell r="K36">
            <v>461320</v>
          </cell>
          <cell r="L36">
            <v>15482</v>
          </cell>
          <cell r="N36" t="str">
            <v>Canterbury DHB</v>
          </cell>
          <cell r="O36">
            <v>1156695</v>
          </cell>
          <cell r="P36">
            <v>1125958</v>
          </cell>
          <cell r="Q36">
            <v>30737</v>
          </cell>
          <cell r="S36">
            <v>633575</v>
          </cell>
          <cell r="T36">
            <v>628882</v>
          </cell>
          <cell r="U36">
            <v>-4693</v>
          </cell>
          <cell r="W36">
            <v>525784</v>
          </cell>
          <cell r="X36">
            <v>497076</v>
          </cell>
          <cell r="Y36">
            <v>-28708</v>
          </cell>
          <cell r="AA36" t="str">
            <v>Capital &amp; Coast DHB</v>
          </cell>
          <cell r="AB36">
            <v>761581.78820000053</v>
          </cell>
          <cell r="AC36">
            <v>740885</v>
          </cell>
          <cell r="AD36">
            <v>20696.788200000534</v>
          </cell>
          <cell r="AF36">
            <v>460259.23049999966</v>
          </cell>
          <cell r="AG36">
            <v>439070.0001</v>
          </cell>
          <cell r="AH36">
            <v>-21189.230399999651</v>
          </cell>
          <cell r="AJ36">
            <v>304184.24770000001</v>
          </cell>
          <cell r="AK36">
            <v>313174.00020000007</v>
          </cell>
          <cell r="AL36">
            <v>8989.7525000000605</v>
          </cell>
          <cell r="AN36" t="str">
            <v>Capital &amp; Coast DHB</v>
          </cell>
          <cell r="AO36">
            <v>794540.52600000007</v>
          </cell>
          <cell r="AP36">
            <v>777018.44669999985</v>
          </cell>
          <cell r="AQ36">
            <v>17522.079300000216</v>
          </cell>
          <cell r="AS36">
            <v>487589.08949999994</v>
          </cell>
          <cell r="AT36">
            <v>469840.87400000019</v>
          </cell>
          <cell r="AU36">
            <v>-17748.215499999758</v>
          </cell>
          <cell r="AW36">
            <v>310795.41620000062</v>
          </cell>
          <cell r="AX36">
            <v>316796.65600000112</v>
          </cell>
          <cell r="AY36">
            <v>6001.2398000005051</v>
          </cell>
        </row>
        <row r="37">
          <cell r="A37" t="str">
            <v>Capital &amp; Coast DHB</v>
          </cell>
          <cell r="B37">
            <v>667021.15029999986</v>
          </cell>
          <cell r="C37">
            <v>646775.72280000034</v>
          </cell>
          <cell r="D37">
            <v>20245.427499999525</v>
          </cell>
          <cell r="F37">
            <v>388507.05719999969</v>
          </cell>
          <cell r="G37">
            <v>380943.98520000011</v>
          </cell>
          <cell r="H37">
            <v>7563.0719999995781</v>
          </cell>
          <cell r="J37">
            <v>274490.30000000109</v>
          </cell>
          <cell r="K37">
            <v>265831.6763999986</v>
          </cell>
          <cell r="L37">
            <v>8658.6236000024946</v>
          </cell>
          <cell r="N37" t="str">
            <v>Capital &amp; Coast DHB</v>
          </cell>
          <cell r="O37">
            <v>705597.1810000001</v>
          </cell>
          <cell r="P37">
            <v>683773.30560000031</v>
          </cell>
          <cell r="Q37">
            <v>21823.875399999786</v>
          </cell>
          <cell r="S37">
            <v>418207.06939999998</v>
          </cell>
          <cell r="T37">
            <v>393061.33029999997</v>
          </cell>
          <cell r="U37">
            <v>-25145.739100000006</v>
          </cell>
          <cell r="W37">
            <v>288965.19439999986</v>
          </cell>
          <cell r="X37">
            <v>292287.42489999923</v>
          </cell>
          <cell r="Y37">
            <v>3322.2304999993648</v>
          </cell>
          <cell r="AA37" t="str">
            <v>Counties Manukau DHB</v>
          </cell>
          <cell r="AB37">
            <v>1143915</v>
          </cell>
          <cell r="AC37">
            <v>1135448</v>
          </cell>
          <cell r="AD37">
            <v>8467</v>
          </cell>
          <cell r="AF37">
            <v>599946</v>
          </cell>
          <cell r="AG37">
            <v>570685</v>
          </cell>
          <cell r="AH37">
            <v>-29261</v>
          </cell>
          <cell r="AJ37">
            <v>548813</v>
          </cell>
          <cell r="AK37">
            <v>565840</v>
          </cell>
          <cell r="AL37">
            <v>17027</v>
          </cell>
          <cell r="AN37" t="str">
            <v>Counties Manukau DHB</v>
          </cell>
          <cell r="AO37">
            <v>1215877</v>
          </cell>
          <cell r="AP37">
            <v>1190890</v>
          </cell>
          <cell r="AQ37">
            <v>24987</v>
          </cell>
          <cell r="AS37">
            <v>629990</v>
          </cell>
          <cell r="AT37">
            <v>612578</v>
          </cell>
          <cell r="AU37">
            <v>-17412</v>
          </cell>
          <cell r="AW37">
            <v>579506</v>
          </cell>
          <cell r="AX37">
            <v>577771</v>
          </cell>
          <cell r="AY37">
            <v>-1735</v>
          </cell>
        </row>
        <row r="38">
          <cell r="A38" t="str">
            <v>Counties Manukau DHB</v>
          </cell>
          <cell r="B38">
            <v>970303</v>
          </cell>
          <cell r="C38">
            <v>951527</v>
          </cell>
          <cell r="D38">
            <v>18776</v>
          </cell>
          <cell r="F38">
            <v>482144</v>
          </cell>
          <cell r="G38">
            <v>468682</v>
          </cell>
          <cell r="H38">
            <v>13462</v>
          </cell>
          <cell r="J38">
            <v>482432</v>
          </cell>
          <cell r="K38">
            <v>482381.99880000087</v>
          </cell>
          <cell r="L38">
            <v>50.001199999125674</v>
          </cell>
          <cell r="N38" t="str">
            <v>Counties Manukau DHB</v>
          </cell>
          <cell r="O38">
            <v>1043608</v>
          </cell>
          <cell r="P38">
            <v>1029829</v>
          </cell>
          <cell r="Q38">
            <v>13779</v>
          </cell>
          <cell r="S38">
            <v>533698</v>
          </cell>
          <cell r="T38">
            <v>524074</v>
          </cell>
          <cell r="U38">
            <v>-9624</v>
          </cell>
          <cell r="W38">
            <v>509961</v>
          </cell>
          <cell r="X38">
            <v>505701.99920000066</v>
          </cell>
          <cell r="Y38">
            <v>-4259.0007999993395</v>
          </cell>
          <cell r="AA38" t="str">
            <v>Southern DHB</v>
          </cell>
          <cell r="AB38">
            <v>753670.50540000002</v>
          </cell>
          <cell r="AC38">
            <v>747793.03679999989</v>
          </cell>
          <cell r="AD38">
            <v>5877.4686000001384</v>
          </cell>
          <cell r="AF38">
            <v>409219.01830000011</v>
          </cell>
          <cell r="AG38">
            <v>407971.98269999988</v>
          </cell>
          <cell r="AH38">
            <v>-1247.0356000002357</v>
          </cell>
          <cell r="AJ38">
            <v>369541.02770000021</v>
          </cell>
          <cell r="AK38">
            <v>366531.98120000103</v>
          </cell>
          <cell r="AL38">
            <v>-3009.0464999991818</v>
          </cell>
          <cell r="AN38" t="str">
            <v>Southern DHB</v>
          </cell>
          <cell r="AO38">
            <v>766886.9216</v>
          </cell>
          <cell r="AP38">
            <v>763429.64729999972</v>
          </cell>
          <cell r="AQ38">
            <v>3457.2743000002811</v>
          </cell>
          <cell r="AS38">
            <v>426567</v>
          </cell>
          <cell r="AT38">
            <v>426620.67879999994</v>
          </cell>
          <cell r="AU38">
            <v>53.678799999936018</v>
          </cell>
          <cell r="AW38">
            <v>350824</v>
          </cell>
          <cell r="AX38">
            <v>353065.07310000173</v>
          </cell>
          <cell r="AY38">
            <v>2241.0731000017258</v>
          </cell>
        </row>
        <row r="39">
          <cell r="A39" t="str">
            <v>Otago DHB</v>
          </cell>
          <cell r="B39">
            <v>449709.57</v>
          </cell>
          <cell r="C39">
            <v>436979.87920000014</v>
          </cell>
          <cell r="D39">
            <v>12729.690799999866</v>
          </cell>
          <cell r="F39">
            <v>227938.48529999997</v>
          </cell>
          <cell r="G39">
            <v>226371.00120000003</v>
          </cell>
          <cell r="H39">
            <v>1567.4840999999433</v>
          </cell>
          <cell r="J39">
            <v>219690.43470000001</v>
          </cell>
          <cell r="K39">
            <v>214330.99919999999</v>
          </cell>
          <cell r="L39">
            <v>5359.4355000000214</v>
          </cell>
          <cell r="N39" t="str">
            <v>Otago DHB</v>
          </cell>
          <cell r="O39">
            <v>464085.83</v>
          </cell>
          <cell r="P39">
            <v>463479</v>
          </cell>
          <cell r="Q39">
            <v>606.8300000000163</v>
          </cell>
          <cell r="S39">
            <v>245397.96</v>
          </cell>
          <cell r="T39">
            <v>242831.21919999996</v>
          </cell>
          <cell r="U39">
            <v>-2566.7408000000578</v>
          </cell>
          <cell r="W39">
            <v>228696.64</v>
          </cell>
          <cell r="X39">
            <v>229576.23159999991</v>
          </cell>
          <cell r="Y39">
            <v>879.59159999995609</v>
          </cell>
          <cell r="AA39" t="str">
            <v>Waikato DHB</v>
          </cell>
          <cell r="AB39">
            <v>988621</v>
          </cell>
          <cell r="AC39">
            <v>975314.22839999967</v>
          </cell>
          <cell r="AD39">
            <v>13306.771600000327</v>
          </cell>
          <cell r="AF39">
            <v>583184.74379999971</v>
          </cell>
          <cell r="AG39">
            <v>554676.20380000025</v>
          </cell>
          <cell r="AH39">
            <v>-28508.539999999455</v>
          </cell>
          <cell r="AJ39">
            <v>379238.54129999981</v>
          </cell>
          <cell r="AK39">
            <v>399834.71919999784</v>
          </cell>
          <cell r="AL39">
            <v>20596.177899998031</v>
          </cell>
          <cell r="AN39" t="str">
            <v>Waikato DHB</v>
          </cell>
          <cell r="AO39">
            <v>1026742</v>
          </cell>
          <cell r="AP39">
            <v>1016770</v>
          </cell>
          <cell r="AQ39">
            <v>9972</v>
          </cell>
          <cell r="AS39">
            <v>588293.13480000035</v>
          </cell>
          <cell r="AT39">
            <v>586675</v>
          </cell>
          <cell r="AU39">
            <v>-1618.1348000003491</v>
          </cell>
          <cell r="AW39">
            <v>398958.05</v>
          </cell>
          <cell r="AX39">
            <v>410489</v>
          </cell>
          <cell r="AY39">
            <v>11530.95</v>
          </cell>
        </row>
        <row r="40">
          <cell r="A40" t="str">
            <v>Waikato DHB</v>
          </cell>
          <cell r="B40">
            <v>816211.8</v>
          </cell>
          <cell r="C40">
            <v>814373.07599999988</v>
          </cell>
          <cell r="D40">
            <v>1838.7240000001621</v>
          </cell>
          <cell r="F40">
            <v>455830.8</v>
          </cell>
          <cell r="G40">
            <v>463183</v>
          </cell>
          <cell r="H40">
            <v>-7352.2000000000116</v>
          </cell>
          <cell r="J40">
            <v>324518.8</v>
          </cell>
          <cell r="K40">
            <v>351190</v>
          </cell>
          <cell r="L40">
            <v>-26671.200000000001</v>
          </cell>
          <cell r="N40" t="str">
            <v>Waikato DHB</v>
          </cell>
          <cell r="O40">
            <v>908617</v>
          </cell>
          <cell r="P40">
            <v>886795</v>
          </cell>
          <cell r="Q40">
            <v>21822</v>
          </cell>
          <cell r="S40">
            <v>525407</v>
          </cell>
          <cell r="T40">
            <v>505315</v>
          </cell>
          <cell r="U40">
            <v>-20092</v>
          </cell>
          <cell r="W40">
            <v>354988.9999999993</v>
          </cell>
          <cell r="X40">
            <v>361073</v>
          </cell>
          <cell r="Y40">
            <v>6084.0000000006985</v>
          </cell>
          <cell r="AA40" t="str">
            <v>Waitemata DHB</v>
          </cell>
          <cell r="AB40">
            <v>1192408</v>
          </cell>
          <cell r="AC40">
            <v>1186500</v>
          </cell>
          <cell r="AD40">
            <v>5908</v>
          </cell>
          <cell r="AF40">
            <v>569751</v>
          </cell>
          <cell r="AG40">
            <v>569090</v>
          </cell>
          <cell r="AH40">
            <v>-661</v>
          </cell>
          <cell r="AJ40">
            <v>614191</v>
          </cell>
          <cell r="AK40">
            <v>617410</v>
          </cell>
          <cell r="AL40">
            <v>3219</v>
          </cell>
          <cell r="AN40" t="str">
            <v>Waitemata DHB</v>
          </cell>
          <cell r="AO40">
            <v>1253303</v>
          </cell>
          <cell r="AP40">
            <v>1237568</v>
          </cell>
          <cell r="AQ40">
            <v>15735</v>
          </cell>
          <cell r="AS40">
            <v>604612</v>
          </cell>
          <cell r="AT40">
            <v>600578</v>
          </cell>
          <cell r="AU40">
            <v>-4034</v>
          </cell>
          <cell r="AW40">
            <v>648412</v>
          </cell>
          <cell r="AX40">
            <v>636990</v>
          </cell>
          <cell r="AY40">
            <v>-11422</v>
          </cell>
        </row>
        <row r="41">
          <cell r="A41" t="str">
            <v>Waitemata DHB</v>
          </cell>
          <cell r="B41">
            <v>1043296</v>
          </cell>
          <cell r="C41">
            <v>1033970.6668</v>
          </cell>
          <cell r="D41">
            <v>9325.3331999999937</v>
          </cell>
          <cell r="F41">
            <v>480728</v>
          </cell>
          <cell r="G41">
            <v>475706</v>
          </cell>
          <cell r="H41">
            <v>5022</v>
          </cell>
          <cell r="J41">
            <v>543274</v>
          </cell>
          <cell r="K41">
            <v>553001.33359999978</v>
          </cell>
          <cell r="L41">
            <v>-9727.3335999997798</v>
          </cell>
          <cell r="N41" t="str">
            <v>Waitemata DHB</v>
          </cell>
          <cell r="O41">
            <v>1134368</v>
          </cell>
          <cell r="P41">
            <v>1112984</v>
          </cell>
          <cell r="Q41">
            <v>21384</v>
          </cell>
          <cell r="S41">
            <v>542281</v>
          </cell>
          <cell r="T41">
            <v>529919</v>
          </cell>
          <cell r="U41">
            <v>-12362</v>
          </cell>
          <cell r="W41">
            <v>579884</v>
          </cell>
          <cell r="X41">
            <v>583065</v>
          </cell>
          <cell r="Y41">
            <v>3181</v>
          </cell>
          <cell r="AA41" t="str">
            <v>All DHBs</v>
          </cell>
          <cell r="AB41">
            <v>11480234.282500001</v>
          </cell>
          <cell r="AC41">
            <v>11359024.490899999</v>
          </cell>
          <cell r="AD41">
            <v>121209.79160000198</v>
          </cell>
          <cell r="AF41">
            <v>6237107.0070999991</v>
          </cell>
          <cell r="AG41">
            <v>6109093.5793999992</v>
          </cell>
          <cell r="AH41">
            <v>-128013.42769999988</v>
          </cell>
          <cell r="AJ41">
            <v>5227509.3143999949</v>
          </cell>
          <cell r="AK41">
            <v>5276939.7998000011</v>
          </cell>
          <cell r="AL41">
            <v>49430.485400006175</v>
          </cell>
          <cell r="AN41" t="str">
            <v>All DHBs</v>
          </cell>
          <cell r="AO41">
            <v>12000175.524500001</v>
          </cell>
          <cell r="AP41">
            <v>11789539.9937</v>
          </cell>
          <cell r="AQ41">
            <v>210635.5308000017</v>
          </cell>
          <cell r="AS41">
            <v>6477023.9412000002</v>
          </cell>
          <cell r="AT41">
            <v>6379697.3786000013</v>
          </cell>
          <cell r="AU41">
            <v>-97326.562599998899</v>
          </cell>
          <cell r="AW41">
            <v>5439807.8348999945</v>
          </cell>
          <cell r="AX41">
            <v>5412917.6095000003</v>
          </cell>
          <cell r="AY41">
            <v>-26890.225399994291</v>
          </cell>
        </row>
        <row r="42">
          <cell r="A42" t="str">
            <v>All DHBs</v>
          </cell>
          <cell r="B42">
            <v>10005390.9772</v>
          </cell>
          <cell r="C42">
            <v>9762794.6254999992</v>
          </cell>
          <cell r="D42">
            <v>242596.35170000046</v>
          </cell>
          <cell r="F42">
            <v>5272593.9481999995</v>
          </cell>
          <cell r="G42">
            <v>5162118.7062999997</v>
          </cell>
          <cell r="H42">
            <v>110475.24189999979</v>
          </cell>
          <cell r="J42">
            <v>4595748.5815999992</v>
          </cell>
          <cell r="K42">
            <v>4600478.5929999975</v>
          </cell>
          <cell r="L42">
            <v>-4730.0113999983296</v>
          </cell>
          <cell r="N42" t="str">
            <v>All DHBs</v>
          </cell>
          <cell r="O42">
            <v>10784268.8715</v>
          </cell>
          <cell r="P42">
            <v>10543789.3191</v>
          </cell>
          <cell r="Q42">
            <v>240479.55240000039</v>
          </cell>
          <cell r="S42">
            <v>5749404.1737000002</v>
          </cell>
          <cell r="T42">
            <v>5608523.6140000001</v>
          </cell>
          <cell r="U42">
            <v>-140880.5597000001</v>
          </cell>
          <cell r="W42">
            <v>4947403.5227000015</v>
          </cell>
          <cell r="X42">
            <v>4901545.0986000001</v>
          </cell>
          <cell r="Y42">
            <v>-45858.424100001343</v>
          </cell>
        </row>
        <row r="99">
          <cell r="A99" t="str">
            <v>Auckland DHB</v>
          </cell>
          <cell r="B99">
            <v>1622013.0819999999</v>
          </cell>
          <cell r="C99">
            <v>1722199.9050000005</v>
          </cell>
          <cell r="D99">
            <v>-100186.82300000056</v>
          </cell>
          <cell r="F99">
            <v>1051290.6379999998</v>
          </cell>
          <cell r="G99">
            <v>1059744.5699999998</v>
          </cell>
          <cell r="H99">
            <v>8453.9320000000298</v>
          </cell>
          <cell r="J99">
            <v>545606.89299999981</v>
          </cell>
          <cell r="K99">
            <v>662449.55899999978</v>
          </cell>
          <cell r="L99">
            <v>116842.66599999997</v>
          </cell>
        </row>
        <row r="100">
          <cell r="A100" t="str">
            <v>Counties Manukau DHB</v>
          </cell>
          <cell r="B100">
            <v>1292667</v>
          </cell>
          <cell r="C100">
            <v>1255812</v>
          </cell>
          <cell r="D100">
            <v>36855</v>
          </cell>
          <cell r="F100">
            <v>653928</v>
          </cell>
          <cell r="G100">
            <v>651621</v>
          </cell>
          <cell r="H100">
            <v>-2307</v>
          </cell>
          <cell r="J100">
            <v>628000</v>
          </cell>
          <cell r="K100">
            <v>599888.99999999977</v>
          </cell>
          <cell r="L100">
            <v>-28111.000000000233</v>
          </cell>
        </row>
        <row r="101">
          <cell r="A101" t="str">
            <v>Northland DHB</v>
          </cell>
          <cell r="B101">
            <v>482371.73099000001</v>
          </cell>
          <cell r="C101">
            <v>478477.36715999991</v>
          </cell>
          <cell r="D101">
            <v>3894.3638300001039</v>
          </cell>
          <cell r="F101">
            <v>248706.78621000005</v>
          </cell>
          <cell r="G101">
            <v>242115.84455669997</v>
          </cell>
          <cell r="H101">
            <v>-6590.9416533000767</v>
          </cell>
          <cell r="J101">
            <v>229994.39779999998</v>
          </cell>
          <cell r="K101">
            <v>236361.16260999997</v>
          </cell>
          <cell r="L101">
            <v>6366.7648099999933</v>
          </cell>
        </row>
        <row r="102">
          <cell r="A102" t="str">
            <v>Waitemata DHB</v>
          </cell>
          <cell r="B102">
            <v>1298588</v>
          </cell>
          <cell r="C102">
            <v>1288169</v>
          </cell>
          <cell r="D102">
            <v>10419</v>
          </cell>
          <cell r="F102">
            <v>633955</v>
          </cell>
          <cell r="G102">
            <v>614732</v>
          </cell>
          <cell r="H102">
            <v>-19223</v>
          </cell>
          <cell r="J102">
            <v>655447</v>
          </cell>
          <cell r="K102">
            <v>673437</v>
          </cell>
          <cell r="L102">
            <v>17990</v>
          </cell>
        </row>
        <row r="103">
          <cell r="A103" t="str">
            <v>Northern Region Total</v>
          </cell>
          <cell r="B103">
            <v>4695639.8129900005</v>
          </cell>
          <cell r="C103">
            <v>4744658.2721600002</v>
          </cell>
          <cell r="D103">
            <v>-49018.459170000453</v>
          </cell>
          <cell r="F103">
            <v>2587880.4242099999</v>
          </cell>
          <cell r="G103">
            <v>2568213.4145566998</v>
          </cell>
          <cell r="H103">
            <v>-19667.009653300047</v>
          </cell>
          <cell r="J103">
            <v>2059048.2907999996</v>
          </cell>
          <cell r="K103">
            <v>2172136.7216099994</v>
          </cell>
          <cell r="L103">
            <v>113088.43080999973</v>
          </cell>
        </row>
        <row r="105">
          <cell r="A105" t="str">
            <v>Bay of Plenty DHB</v>
          </cell>
          <cell r="B105">
            <v>609011</v>
          </cell>
          <cell r="C105">
            <v>601276</v>
          </cell>
          <cell r="D105">
            <v>7735</v>
          </cell>
          <cell r="F105">
            <v>298324</v>
          </cell>
          <cell r="G105">
            <v>296410</v>
          </cell>
          <cell r="H105">
            <v>-1914</v>
          </cell>
          <cell r="J105">
            <v>309964</v>
          </cell>
          <cell r="K105">
            <v>304866</v>
          </cell>
          <cell r="L105">
            <v>-5098</v>
          </cell>
        </row>
        <row r="106">
          <cell r="A106" t="str">
            <v>Lakes DHB</v>
          </cell>
          <cell r="B106">
            <v>290389</v>
          </cell>
          <cell r="C106">
            <v>290450</v>
          </cell>
          <cell r="D106">
            <v>-61</v>
          </cell>
          <cell r="F106">
            <v>141916</v>
          </cell>
          <cell r="G106">
            <v>138695</v>
          </cell>
          <cell r="H106">
            <v>-3221</v>
          </cell>
          <cell r="J106">
            <v>148613</v>
          </cell>
          <cell r="K106">
            <v>153754</v>
          </cell>
          <cell r="L106">
            <v>5141</v>
          </cell>
        </row>
        <row r="107">
          <cell r="A107" t="str">
            <v>Tairawhiti DHB</v>
          </cell>
          <cell r="B107">
            <v>144945</v>
          </cell>
          <cell r="C107">
            <v>145702.98920030001</v>
          </cell>
          <cell r="D107">
            <v>-757.98920030001318</v>
          </cell>
          <cell r="F107">
            <v>77822</v>
          </cell>
          <cell r="G107">
            <v>76953.301451635882</v>
          </cell>
          <cell r="H107">
            <v>-868.69854836411832</v>
          </cell>
          <cell r="J107">
            <v>65960</v>
          </cell>
          <cell r="K107">
            <v>68742.103475964119</v>
          </cell>
          <cell r="L107">
            <v>2782.1034759641188</v>
          </cell>
        </row>
        <row r="108">
          <cell r="A108" t="str">
            <v>Taranaki DHB</v>
          </cell>
          <cell r="B108">
            <v>300140</v>
          </cell>
          <cell r="C108">
            <v>296994</v>
          </cell>
          <cell r="D108">
            <v>3146</v>
          </cell>
          <cell r="F108">
            <v>151782</v>
          </cell>
          <cell r="G108">
            <v>149882</v>
          </cell>
          <cell r="H108">
            <v>-1900</v>
          </cell>
          <cell r="J108">
            <v>139235</v>
          </cell>
          <cell r="K108">
            <v>141309</v>
          </cell>
          <cell r="L108">
            <v>2074</v>
          </cell>
        </row>
        <row r="109">
          <cell r="A109" t="str">
            <v>Waikato DHB</v>
          </cell>
          <cell r="B109">
            <v>1063986</v>
          </cell>
          <cell r="C109">
            <v>1065768</v>
          </cell>
          <cell r="D109">
            <v>-1782</v>
          </cell>
          <cell r="F109">
            <v>623196.73268000002</v>
          </cell>
          <cell r="G109">
            <v>625607</v>
          </cell>
          <cell r="H109">
            <v>2410.2673199999845</v>
          </cell>
          <cell r="J109">
            <v>397993.84581000009</v>
          </cell>
          <cell r="K109">
            <v>410414</v>
          </cell>
          <cell r="L109">
            <v>12420.154189999914</v>
          </cell>
        </row>
        <row r="110">
          <cell r="A110" t="str">
            <v>Midland Region Total</v>
          </cell>
          <cell r="B110">
            <v>2408471</v>
          </cell>
          <cell r="C110">
            <v>2400190.9892003001</v>
          </cell>
          <cell r="D110">
            <v>8280.0107996999868</v>
          </cell>
          <cell r="F110">
            <v>1293040.7326799999</v>
          </cell>
          <cell r="G110">
            <v>1287547.301451636</v>
          </cell>
          <cell r="H110">
            <v>-5493.4312283641339</v>
          </cell>
          <cell r="J110">
            <v>1061765.8458100001</v>
          </cell>
          <cell r="K110">
            <v>1079085.1034759642</v>
          </cell>
          <cell r="L110">
            <v>17319.257665964033</v>
          </cell>
        </row>
        <row r="112">
          <cell r="A112" t="str">
            <v>Capital &amp; Coast DHB</v>
          </cell>
          <cell r="B112">
            <v>845689.81231000018</v>
          </cell>
          <cell r="C112">
            <v>824119.83493999997</v>
          </cell>
          <cell r="D112">
            <v>21569.977370000212</v>
          </cell>
          <cell r="F112">
            <v>536974.01066999999</v>
          </cell>
          <cell r="G112">
            <v>519946.13745999982</v>
          </cell>
          <cell r="H112">
            <v>-17027.873210000165</v>
          </cell>
          <cell r="J112">
            <v>318635.01353000011</v>
          </cell>
          <cell r="K112">
            <v>314231.30142000003</v>
          </cell>
          <cell r="L112">
            <v>-4403.7121100000804</v>
          </cell>
        </row>
        <row r="113">
          <cell r="A113" t="str">
            <v>Hawke's Bay DHB</v>
          </cell>
          <cell r="B113">
            <v>429356.01363000006</v>
          </cell>
          <cell r="C113">
            <v>431990.8734000001</v>
          </cell>
          <cell r="D113">
            <v>-2634.8597700000391</v>
          </cell>
          <cell r="F113">
            <v>225442.61087000009</v>
          </cell>
          <cell r="G113">
            <v>223894.29613999999</v>
          </cell>
          <cell r="H113">
            <v>-1548.3147300001001</v>
          </cell>
          <cell r="J113">
            <v>208888.95757999999</v>
          </cell>
          <cell r="K113">
            <v>207888.53872999994</v>
          </cell>
          <cell r="L113">
            <v>-1000.4188500000455</v>
          </cell>
        </row>
        <row r="114">
          <cell r="A114" t="str">
            <v>Hutt Valley DHB</v>
          </cell>
          <cell r="B114">
            <v>412248</v>
          </cell>
          <cell r="C114">
            <v>410558</v>
          </cell>
          <cell r="D114">
            <v>1690</v>
          </cell>
          <cell r="F114">
            <v>183582</v>
          </cell>
          <cell r="G114">
            <v>184370</v>
          </cell>
          <cell r="H114">
            <v>788</v>
          </cell>
          <cell r="J114">
            <v>227664</v>
          </cell>
          <cell r="K114">
            <v>225632</v>
          </cell>
          <cell r="L114">
            <v>-2032</v>
          </cell>
        </row>
        <row r="115">
          <cell r="A115" t="str">
            <v>MidCentral DHB</v>
          </cell>
          <cell r="B115">
            <v>485502</v>
          </cell>
          <cell r="C115">
            <v>481862</v>
          </cell>
          <cell r="D115">
            <v>3640</v>
          </cell>
          <cell r="F115">
            <v>259897</v>
          </cell>
          <cell r="G115">
            <v>255981</v>
          </cell>
          <cell r="H115">
            <v>-3916</v>
          </cell>
          <cell r="J115">
            <v>221517</v>
          </cell>
          <cell r="K115">
            <v>225881</v>
          </cell>
          <cell r="L115">
            <v>4364</v>
          </cell>
        </row>
        <row r="116">
          <cell r="A116" t="str">
            <v>Wairarapa DHB</v>
          </cell>
          <cell r="B116">
            <v>122111</v>
          </cell>
          <cell r="C116">
            <v>121113.20000000003</v>
          </cell>
          <cell r="D116">
            <v>997.79999999997381</v>
          </cell>
          <cell r="F116">
            <v>53963</v>
          </cell>
          <cell r="G116">
            <v>53931.5</v>
          </cell>
          <cell r="H116">
            <v>-31.5</v>
          </cell>
          <cell r="J116">
            <v>71322</v>
          </cell>
          <cell r="K116">
            <v>69909.3</v>
          </cell>
          <cell r="L116">
            <v>-1412.6999999999971</v>
          </cell>
        </row>
        <row r="117">
          <cell r="A117" t="str">
            <v>Whanganui DHB</v>
          </cell>
          <cell r="B117">
            <v>207280</v>
          </cell>
          <cell r="C117">
            <v>205163</v>
          </cell>
          <cell r="D117">
            <v>2117</v>
          </cell>
          <cell r="F117">
            <v>101681</v>
          </cell>
          <cell r="G117">
            <v>98565</v>
          </cell>
          <cell r="H117">
            <v>-3116</v>
          </cell>
          <cell r="J117">
            <v>100865</v>
          </cell>
          <cell r="K117">
            <v>106198</v>
          </cell>
          <cell r="L117">
            <v>5333</v>
          </cell>
        </row>
        <row r="118">
          <cell r="A118" t="str">
            <v>Central Region Total</v>
          </cell>
          <cell r="B118">
            <v>2502186.8259400004</v>
          </cell>
          <cell r="C118">
            <v>2474806.9083400005</v>
          </cell>
          <cell r="D118">
            <v>27379.917600000146</v>
          </cell>
          <cell r="F118">
            <v>1361539.6215400002</v>
          </cell>
          <cell r="G118">
            <v>1336687.9335999999</v>
          </cell>
          <cell r="H118">
            <v>-24851.687940000265</v>
          </cell>
          <cell r="J118">
            <v>1148891.97111</v>
          </cell>
          <cell r="K118">
            <v>1149740.1401499999</v>
          </cell>
          <cell r="L118">
            <v>848.16903999987699</v>
          </cell>
        </row>
        <row r="120">
          <cell r="A120" t="str">
            <v>Canterbury DHB</v>
          </cell>
          <cell r="B120">
            <v>1322216</v>
          </cell>
          <cell r="C120">
            <v>1315916</v>
          </cell>
          <cell r="D120">
            <v>6300</v>
          </cell>
          <cell r="F120">
            <v>743203</v>
          </cell>
          <cell r="G120">
            <v>730116</v>
          </cell>
          <cell r="H120">
            <v>-13087</v>
          </cell>
          <cell r="J120">
            <v>581045</v>
          </cell>
          <cell r="K120">
            <v>598624</v>
          </cell>
          <cell r="L120">
            <v>17579</v>
          </cell>
        </row>
        <row r="121">
          <cell r="A121" t="str">
            <v>Nelson Marlborough DHB</v>
          </cell>
          <cell r="B121">
            <v>370372.51966999995</v>
          </cell>
          <cell r="C121">
            <v>367310.54755000008</v>
          </cell>
          <cell r="D121">
            <v>3061.9721199998748</v>
          </cell>
          <cell r="F121">
            <v>199036.57943000001</v>
          </cell>
          <cell r="G121">
            <v>199105.77356999993</v>
          </cell>
          <cell r="H121">
            <v>69.194139999919571</v>
          </cell>
          <cell r="J121">
            <v>172022.28711</v>
          </cell>
          <cell r="K121">
            <v>168181.30192000009</v>
          </cell>
          <cell r="L121">
            <v>-3840.9851899999194</v>
          </cell>
        </row>
        <row r="122">
          <cell r="A122" t="str">
            <v>South Canterbury DHB</v>
          </cell>
          <cell r="B122">
            <v>164773</v>
          </cell>
          <cell r="C122">
            <v>162153</v>
          </cell>
          <cell r="D122">
            <v>2620</v>
          </cell>
          <cell r="F122">
            <v>80247</v>
          </cell>
          <cell r="G122">
            <v>79175</v>
          </cell>
          <cell r="H122">
            <v>-1072</v>
          </cell>
          <cell r="J122">
            <v>83762</v>
          </cell>
          <cell r="K122">
            <v>83478</v>
          </cell>
          <cell r="L122">
            <v>-284</v>
          </cell>
        </row>
        <row r="123">
          <cell r="A123" t="str">
            <v>Southern DHB</v>
          </cell>
          <cell r="B123">
            <v>786359.55601000017</v>
          </cell>
          <cell r="C123">
            <v>783729</v>
          </cell>
          <cell r="D123">
            <v>2630.5560100001749</v>
          </cell>
          <cell r="F123">
            <v>432476.06823999994</v>
          </cell>
          <cell r="G123">
            <v>431070.68000000005</v>
          </cell>
          <cell r="H123">
            <v>-1405.3882399998838</v>
          </cell>
          <cell r="J123">
            <v>360707.09498000011</v>
          </cell>
          <cell r="K123">
            <v>363638.79000000004</v>
          </cell>
          <cell r="L123">
            <v>2931.6950199999264</v>
          </cell>
        </row>
        <row r="124">
          <cell r="A124" t="str">
            <v>West Coast DHB</v>
          </cell>
          <cell r="B124">
            <v>121017</v>
          </cell>
          <cell r="C124">
            <v>120573.79999999997</v>
          </cell>
          <cell r="D124">
            <v>443.20000000002619</v>
          </cell>
          <cell r="F124">
            <v>64048</v>
          </cell>
          <cell r="G124">
            <v>63632.400000000009</v>
          </cell>
          <cell r="H124">
            <v>-415.59999999999127</v>
          </cell>
          <cell r="J124">
            <v>47007</v>
          </cell>
          <cell r="K124">
            <v>48483.300000000025</v>
          </cell>
          <cell r="L124">
            <v>1476.3000000000247</v>
          </cell>
        </row>
        <row r="125">
          <cell r="A125" t="str">
            <v>Southern Region Total</v>
          </cell>
          <cell r="B125">
            <v>2764738.0756799998</v>
          </cell>
          <cell r="C125">
            <v>2749682.3475500001</v>
          </cell>
          <cell r="D125">
            <v>15055.728130000076</v>
          </cell>
          <cell r="F125">
            <v>1519010.6476699999</v>
          </cell>
          <cell r="G125">
            <v>1503099.8535699998</v>
          </cell>
          <cell r="H125">
            <v>-15910.794099999956</v>
          </cell>
          <cell r="J125">
            <v>1244543.3820900002</v>
          </cell>
          <cell r="K125">
            <v>1262405.3919200001</v>
          </cell>
          <cell r="L125">
            <v>17862.009830000032</v>
          </cell>
        </row>
        <row r="126">
          <cell r="O126">
            <v>12903701.121189998</v>
          </cell>
          <cell r="AB126">
            <v>13206552.29854</v>
          </cell>
          <cell r="AO126">
            <v>13526539.08904</v>
          </cell>
        </row>
        <row r="127">
          <cell r="A127" t="str">
            <v>All DHBs</v>
          </cell>
          <cell r="B127">
            <v>12371035.714609999</v>
          </cell>
          <cell r="C127">
            <v>12369338.517250299</v>
          </cell>
          <cell r="D127">
            <v>1697.1973596997559</v>
          </cell>
          <cell r="F127">
            <v>6761471.4260999998</v>
          </cell>
          <cell r="G127">
            <v>6695548.5031783367</v>
          </cell>
          <cell r="H127">
            <v>-65922.92292166315</v>
          </cell>
          <cell r="J127">
            <v>5514249.4898100002</v>
          </cell>
          <cell r="K127">
            <v>5663367.3571559638</v>
          </cell>
          <cell r="L127">
            <v>149117.8673459636</v>
          </cell>
        </row>
        <row r="132">
          <cell r="N132" t="str">
            <v>Auckland DHB</v>
          </cell>
          <cell r="Q132">
            <v>-9.0737572262285465E-4</v>
          </cell>
          <cell r="S132">
            <v>0.60732198864281317</v>
          </cell>
          <cell r="T132">
            <v>0.60365062138122738</v>
          </cell>
          <cell r="U132">
            <v>7.3371478681288958E-4</v>
          </cell>
          <cell r="W132">
            <v>0.39267801135718683</v>
          </cell>
          <cell r="X132">
            <v>0.39634937861877267</v>
          </cell>
          <cell r="Y132">
            <v>1.5974659180320559E-2</v>
          </cell>
          <cell r="AA132" t="str">
            <v>Auckland DHB</v>
          </cell>
          <cell r="AD132">
            <v>-2.1761096101295427E-3</v>
          </cell>
          <cell r="AF132">
            <v>0.61470414280027563</v>
          </cell>
          <cell r="AG132">
            <v>0.60369333235488909</v>
          </cell>
          <cell r="AH132">
            <v>5.8616387492894566E-3</v>
          </cell>
          <cell r="AJ132">
            <v>0.38529585719972431</v>
          </cell>
          <cell r="AK132">
            <v>0.39630666764511097</v>
          </cell>
          <cell r="AL132">
            <v>-3.9601562449761603E-2</v>
          </cell>
          <cell r="AN132" t="str">
            <v>Auckland DHB</v>
          </cell>
          <cell r="AQ132">
            <v>-8.9901532785703977E-4</v>
          </cell>
          <cell r="AS132">
            <v>0.62290791184171579</v>
          </cell>
          <cell r="AT132">
            <v>0.61083039835535535</v>
          </cell>
          <cell r="AU132">
            <v>1.5254433460822343E-2</v>
          </cell>
          <cell r="AW132">
            <v>0.37709208815828421</v>
          </cell>
          <cell r="AX132">
            <v>0.38916960164464459</v>
          </cell>
          <cell r="AY132">
            <v>-3.532682948247929E-2</v>
          </cell>
        </row>
        <row r="133">
          <cell r="N133" t="str">
            <v>Counties Manukau DHB</v>
          </cell>
          <cell r="Q133">
            <v>3.4469768189083565E-3</v>
          </cell>
          <cell r="S133">
            <v>0.51566363860556774</v>
          </cell>
          <cell r="T133">
            <v>0.5127836634975097</v>
          </cell>
          <cell r="U133">
            <v>-4.1673965084369708E-3</v>
          </cell>
          <cell r="W133">
            <v>0.48433636139443226</v>
          </cell>
          <cell r="X133">
            <v>0.48721633650249024</v>
          </cell>
          <cell r="Y133">
            <v>7.3434297811412119E-3</v>
          </cell>
          <cell r="AA133" t="str">
            <v>Counties Manukau DHB</v>
          </cell>
          <cell r="AD133">
            <v>6.8366187492068572E-3</v>
          </cell>
          <cell r="AF133">
            <v>0.53044212063647544</v>
          </cell>
          <cell r="AG133">
            <v>0.52786085180454501</v>
          </cell>
          <cell r="AH133">
            <v>1.1364811858545137E-2</v>
          </cell>
          <cell r="AJ133">
            <v>0.46955787936352461</v>
          </cell>
          <cell r="AK133">
            <v>0.47213914819545494</v>
          </cell>
          <cell r="AL133">
            <v>9.4084404025348569E-4</v>
          </cell>
          <cell r="AN133" t="str">
            <v>Counties Manukau DHB</v>
          </cell>
          <cell r="AQ133">
            <v>2.9962073145257439E-3</v>
          </cell>
          <cell r="AS133">
            <v>0.53793656792930178</v>
          </cell>
          <cell r="AT133">
            <v>0.52997536506123033</v>
          </cell>
          <cell r="AU133">
            <v>1.4434037003303674E-2</v>
          </cell>
          <cell r="AW133">
            <v>0.46206343207069822</v>
          </cell>
          <cell r="AX133">
            <v>0.47002463493876967</v>
          </cell>
          <cell r="AY133">
            <v>-1.7507132591766603E-2</v>
          </cell>
        </row>
        <row r="134">
          <cell r="N134" t="str">
            <v>Northland DHB</v>
          </cell>
          <cell r="Q134">
            <v>3.9340898144789426E-3</v>
          </cell>
          <cell r="S134">
            <v>0.52185469842012466</v>
          </cell>
          <cell r="T134">
            <v>0.51511600574620053</v>
          </cell>
          <cell r="U134">
            <v>-1.571284411667629E-2</v>
          </cell>
          <cell r="W134">
            <v>0.47814530157987539</v>
          </cell>
          <cell r="X134">
            <v>0.48488399425379941</v>
          </cell>
          <cell r="Y134">
            <v>1.1336650056133662E-2</v>
          </cell>
          <cell r="AA134" t="str">
            <v>Northland DHB</v>
          </cell>
          <cell r="AD134">
            <v>1.3140754295958481E-2</v>
          </cell>
          <cell r="AF134">
            <v>0.53408670237465261</v>
          </cell>
          <cell r="AG134">
            <v>0.51666002897174146</v>
          </cell>
          <cell r="AH134">
            <v>4.5416216032340695E-2</v>
          </cell>
          <cell r="AJ134">
            <v>0.46591329762534739</v>
          </cell>
          <cell r="AK134">
            <v>0.48333997102825849</v>
          </cell>
          <cell r="AL134">
            <v>-2.5156892571824373E-2</v>
          </cell>
          <cell r="AN134" t="str">
            <v>Northland DHB</v>
          </cell>
          <cell r="AQ134">
            <v>8.8833108216448617E-3</v>
          </cell>
          <cell r="AS134">
            <v>0.53132220803752828</v>
          </cell>
          <cell r="AT134">
            <v>0.51860149739780148</v>
          </cell>
          <cell r="AU134">
            <v>3.107244378511596E-2</v>
          </cell>
          <cell r="AW134">
            <v>0.46867779196247167</v>
          </cell>
          <cell r="AX134">
            <v>0.48139850260219852</v>
          </cell>
          <cell r="AY134">
            <v>-2.0206355808948633E-2</v>
          </cell>
        </row>
        <row r="135">
          <cell r="N135" t="str">
            <v>Waitemata DHB</v>
          </cell>
          <cell r="Q135">
            <v>5.7041656949865776E-3</v>
          </cell>
          <cell r="S135">
            <v>0.49777521306685291</v>
          </cell>
          <cell r="T135">
            <v>0.48494643138079463</v>
          </cell>
          <cell r="U135">
            <v>-2.2555385232757123E-2</v>
          </cell>
          <cell r="W135">
            <v>0.50222478693314709</v>
          </cell>
          <cell r="X135">
            <v>0.51505356861920537</v>
          </cell>
          <cell r="Y135">
            <v>2.8611218075850708E-2</v>
          </cell>
          <cell r="AA135" t="str">
            <v>Waitemata DHB</v>
          </cell>
          <cell r="AD135">
            <v>1.1499941751380419E-2</v>
          </cell>
          <cell r="AF135">
            <v>0.50599925589508843</v>
          </cell>
          <cell r="AG135">
            <v>0.49950253508122605</v>
          </cell>
          <cell r="AH135">
            <v>1.8563962011600484E-2</v>
          </cell>
          <cell r="AJ135">
            <v>0.49400074410491157</v>
          </cell>
          <cell r="AK135">
            <v>0.50049746491877389</v>
          </cell>
          <cell r="AL135">
            <v>-7.565516972173991E-3</v>
          </cell>
          <cell r="AN135" t="str">
            <v>Waitemata DHB</v>
          </cell>
          <cell r="AQ135">
            <v>1.0415584667395155E-2</v>
          </cell>
          <cell r="AS135">
            <v>0.52794799843612661</v>
          </cell>
          <cell r="AT135">
            <v>0.49691702365624779</v>
          </cell>
          <cell r="AU135">
            <v>6.2068571205448661E-2</v>
          </cell>
          <cell r="AW135">
            <v>0.47205200156387339</v>
          </cell>
          <cell r="AX135">
            <v>0.50308297634375221</v>
          </cell>
          <cell r="AY135">
            <v>-6.2015834885232893E-2</v>
          </cell>
        </row>
        <row r="136">
          <cell r="N136" t="str">
            <v>Northern Region Total</v>
          </cell>
          <cell r="Q136">
            <v>2.5323268444424419E-3</v>
          </cell>
          <cell r="S136">
            <v>0.54440962245237901</v>
          </cell>
          <cell r="T136">
            <v>0.53827067497668479</v>
          </cell>
          <cell r="U136">
            <v>-7.763001928234539E-3</v>
          </cell>
          <cell r="W136">
            <v>0.45559037754762083</v>
          </cell>
          <cell r="X136">
            <v>0.46172932502331521</v>
          </cell>
          <cell r="Y136">
            <v>1.684855436452699E-2</v>
          </cell>
          <cell r="AA136" t="str">
            <v>Northern Region Total</v>
          </cell>
          <cell r="AD136">
            <v>5.482807278132472E-3</v>
          </cell>
          <cell r="AF136">
            <v>0.55414267483725066</v>
          </cell>
          <cell r="AG136">
            <v>0.54638137590434577</v>
          </cell>
          <cell r="AH136">
            <v>1.415741609717047E-2</v>
          </cell>
          <cell r="AJ136">
            <v>0.44585732516274929</v>
          </cell>
          <cell r="AK136">
            <v>0.45361862409565418</v>
          </cell>
          <cell r="AL136">
            <v>-1.7155773537121992E-2</v>
          </cell>
          <cell r="AN136" t="str">
            <v>Northern Region Total</v>
          </cell>
          <cell r="AQ136">
            <v>4.2396553997594601E-3</v>
          </cell>
          <cell r="AS136">
            <v>0.56472654330937222</v>
          </cell>
          <cell r="AT136">
            <v>0.54856254781789482</v>
          </cell>
          <cell r="AU136">
            <v>2.8232881263397749E-2</v>
          </cell>
          <cell r="AW136">
            <v>0.43527345669062772</v>
          </cell>
          <cell r="AX136">
            <v>0.45143745218210513</v>
          </cell>
          <cell r="AY136">
            <v>-3.6960637342062556E-2</v>
          </cell>
        </row>
        <row r="138">
          <cell r="N138" t="str">
            <v>Bay of Plenty DHB</v>
          </cell>
          <cell r="Q138">
            <v>4.9772238258517197E-3</v>
          </cell>
          <cell r="S138">
            <v>0.4896847349606121</v>
          </cell>
          <cell r="T138">
            <v>0.48670601212570147</v>
          </cell>
          <cell r="U138">
            <v>-1.6079830069943952E-3</v>
          </cell>
          <cell r="W138">
            <v>0.51031526503938796</v>
          </cell>
          <cell r="X138">
            <v>0.51329398787429847</v>
          </cell>
          <cell r="Y138">
            <v>1.0261864202062413E-2</v>
          </cell>
          <cell r="AA138" t="str">
            <v>Bay of Plenty DHB</v>
          </cell>
          <cell r="AD138">
            <v>2.578019424342313E-3</v>
          </cell>
          <cell r="AF138">
            <v>0.49647906971553563</v>
          </cell>
          <cell r="AG138">
            <v>0.48848246636430437</v>
          </cell>
          <cell r="AH138">
            <v>9.5732713485896202E-3</v>
          </cell>
          <cell r="AJ138">
            <v>0.50352093028446443</v>
          </cell>
          <cell r="AK138">
            <v>0.51151753363569563</v>
          </cell>
          <cell r="AL138">
            <v>-2.2216099241816792E-2</v>
          </cell>
          <cell r="AN138" t="str">
            <v>Bay of Plenty DHB</v>
          </cell>
          <cell r="AQ138">
            <v>9.3658304354393984E-3</v>
          </cell>
          <cell r="AS138">
            <v>0.49956861454762147</v>
          </cell>
          <cell r="AT138">
            <v>0.50001836597886073</v>
          </cell>
          <cell r="AU138">
            <v>8.460283499080205E-3</v>
          </cell>
          <cell r="AW138">
            <v>0.50043138545237853</v>
          </cell>
          <cell r="AX138">
            <v>0.49998163402113927</v>
          </cell>
          <cell r="AY138">
            <v>1.0276142635431111E-2</v>
          </cell>
        </row>
        <row r="139">
          <cell r="N139" t="str">
            <v>Lakes DHB</v>
          </cell>
          <cell r="Q139">
            <v>8.5308914061400978E-3</v>
          </cell>
          <cell r="S139">
            <v>0.48401517204009753</v>
          </cell>
          <cell r="T139">
            <v>0.47802340962841222</v>
          </cell>
          <cell r="U139">
            <v>-2.3689230833735142E-2</v>
          </cell>
          <cell r="W139">
            <v>0.51598482795990241</v>
          </cell>
          <cell r="X139">
            <v>0.52197659037158772</v>
          </cell>
          <cell r="Y139">
            <v>5.8875855139798163E-4</v>
          </cell>
          <cell r="AA139" t="str">
            <v>Lakes DHB</v>
          </cell>
          <cell r="AD139">
            <v>2.6355780055599865E-3</v>
          </cell>
          <cell r="AF139">
            <v>0.49477893286158209</v>
          </cell>
          <cell r="AG139">
            <v>0.48312146962192748</v>
          </cell>
          <cell r="AH139">
            <v>1.4640343487594772E-2</v>
          </cell>
          <cell r="AJ139">
            <v>0.50522106713841786</v>
          </cell>
          <cell r="AK139">
            <v>0.51687853037807252</v>
          </cell>
          <cell r="AL139">
            <v>-3.161016249579314E-2</v>
          </cell>
          <cell r="AN139" t="str">
            <v>Lakes DHB</v>
          </cell>
          <cell r="AQ139">
            <v>1.046626538496092E-2</v>
          </cell>
          <cell r="AS139">
            <v>0.49616976005656971</v>
          </cell>
          <cell r="AT139">
            <v>0.48862571710923164</v>
          </cell>
          <cell r="AU139">
            <v>2.2870988712251048E-2</v>
          </cell>
          <cell r="AW139">
            <v>0.50383023994343035</v>
          </cell>
          <cell r="AX139">
            <v>0.51137428289076836</v>
          </cell>
          <cell r="AY139">
            <v>-7.5417715006368471E-3</v>
          </cell>
        </row>
        <row r="140">
          <cell r="N140" t="str">
            <v>Tairawhiti DHB</v>
          </cell>
          <cell r="Q140">
            <v>9.2993144612071692E-3</v>
          </cell>
          <cell r="S140">
            <v>0.54700236566407567</v>
          </cell>
          <cell r="T140">
            <v>0.53899007930721321</v>
          </cell>
          <cell r="U140">
            <v>-1.8380657852085053E-2</v>
          </cell>
          <cell r="W140">
            <v>0.45299763433592433</v>
          </cell>
          <cell r="X140">
            <v>0.46100992069278679</v>
          </cell>
          <cell r="Y140">
            <v>1.3976258691576846E-2</v>
          </cell>
          <cell r="AA140" t="str">
            <v>Tairawhiti DHB</v>
          </cell>
          <cell r="AD140">
            <v>1.3322253538755888E-2</v>
          </cell>
          <cell r="AF140">
            <v>0.55180070824995187</v>
          </cell>
          <cell r="AG140">
            <v>0.54750672727501082</v>
          </cell>
          <cell r="AH140">
            <v>1.1939866892425618E-2</v>
          </cell>
          <cell r="AJ140">
            <v>0.44819929175004819</v>
          </cell>
          <cell r="AK140">
            <v>0.45249327272498924</v>
          </cell>
          <cell r="AL140">
            <v>-5.4629856916532937E-3</v>
          </cell>
          <cell r="AN140" t="str">
            <v>Tairawhiti DHB</v>
          </cell>
          <cell r="AQ140">
            <v>6.0101474655997146E-3</v>
          </cell>
          <cell r="AS140">
            <v>0.54745646978490947</v>
          </cell>
          <cell r="AT140">
            <v>0.5407585825114275</v>
          </cell>
          <cell r="AU140">
            <v>4.7040421100906071E-3</v>
          </cell>
          <cell r="AW140">
            <v>0.45254353021509047</v>
          </cell>
          <cell r="AX140">
            <v>0.45924141748857245</v>
          </cell>
          <cell r="AY140">
            <v>-2.20620730513361E-2</v>
          </cell>
        </row>
        <row r="141">
          <cell r="N141" t="str">
            <v>Taranaki DHB</v>
          </cell>
          <cell r="Q141">
            <v>8.8953429688695563E-3</v>
          </cell>
          <cell r="S141">
            <v>0.52696933643934774</v>
          </cell>
          <cell r="T141">
            <v>0.52369963136515651</v>
          </cell>
          <cell r="U141">
            <v>-1.2777895202044464E-2</v>
          </cell>
          <cell r="W141">
            <v>0.47303066356065226</v>
          </cell>
          <cell r="X141">
            <v>0.47630036863484354</v>
          </cell>
          <cell r="Y141">
            <v>4.1549880984239213E-4</v>
          </cell>
          <cell r="AA141" t="str">
            <v>Taranaki DHB</v>
          </cell>
          <cell r="AD141">
            <v>1.0996581109353473E-2</v>
          </cell>
          <cell r="AF141">
            <v>0.51853962031951506</v>
          </cell>
          <cell r="AG141">
            <v>0.5235709203036053</v>
          </cell>
          <cell r="AH141">
            <v>2.1392931523743007E-3</v>
          </cell>
          <cell r="AJ141">
            <v>0.481460379680485</v>
          </cell>
          <cell r="AK141">
            <v>0.4764290796963947</v>
          </cell>
          <cell r="AL141">
            <v>2.2548592528056091E-2</v>
          </cell>
          <cell r="AN141" t="str">
            <v>Taranaki DHB</v>
          </cell>
          <cell r="AQ141">
            <v>8.0593458075451981E-3</v>
          </cell>
          <cell r="AS141">
            <v>0.52264112793224193</v>
          </cell>
          <cell r="AT141">
            <v>0.52198364503330075</v>
          </cell>
          <cell r="AU141">
            <v>7.1620301077396928E-3</v>
          </cell>
          <cell r="AW141">
            <v>0.47735887206775812</v>
          </cell>
          <cell r="AX141">
            <v>0.47801635496669925</v>
          </cell>
          <cell r="AY141">
            <v>4.5114711583269735E-3</v>
          </cell>
        </row>
        <row r="142">
          <cell r="N142" t="str">
            <v>Waikato DHB</v>
          </cell>
          <cell r="Q142">
            <v>9.1896064647526438E-3</v>
          </cell>
          <cell r="S142">
            <v>0.61030705385214412</v>
          </cell>
          <cell r="T142">
            <v>0.61040319082731442</v>
          </cell>
          <cell r="U142">
            <v>-2.5945763156961367E-3</v>
          </cell>
          <cell r="W142">
            <v>0.38969294614785577</v>
          </cell>
          <cell r="X142">
            <v>0.38959680917268563</v>
          </cell>
          <cell r="Y142">
            <v>-2.9999467064232613E-3</v>
          </cell>
          <cell r="AA142" t="str">
            <v>Waikato DHB</v>
          </cell>
          <cell r="AD142">
            <v>5.9815497925881644E-3</v>
          </cell>
          <cell r="AF142">
            <v>0.61116780886978805</v>
          </cell>
          <cell r="AG142">
            <v>0.60866802458974933</v>
          </cell>
          <cell r="AH142">
            <v>2.5557467898889232E-3</v>
          </cell>
          <cell r="AJ142">
            <v>0.38883219113021183</v>
          </cell>
          <cell r="AK142">
            <v>0.39133197541025061</v>
          </cell>
          <cell r="AL142">
            <v>-7.922901337557034E-3</v>
          </cell>
          <cell r="AN142" t="str">
            <v>Waikato DHB</v>
          </cell>
          <cell r="AQ142">
            <v>4.7650082445373759E-3</v>
          </cell>
          <cell r="AS142">
            <v>0.61114573397303784</v>
          </cell>
          <cell r="AT142">
            <v>0.61064899715160748</v>
          </cell>
          <cell r="AU142">
            <v>-4.9195686289464288E-3</v>
          </cell>
          <cell r="AW142">
            <v>0.38885426602696216</v>
          </cell>
          <cell r="AX142">
            <v>0.38935100284839247</v>
          </cell>
          <cell r="AY142">
            <v>-6.9968649766197896E-3</v>
          </cell>
        </row>
        <row r="143">
          <cell r="N143" t="str">
            <v>Midland Region Total</v>
          </cell>
          <cell r="Q143">
            <v>8.0181532852091012E-3</v>
          </cell>
          <cell r="S143">
            <v>0.54980320953876649</v>
          </cell>
          <cell r="T143">
            <v>0.54742151886532231</v>
          </cell>
          <cell r="U143">
            <v>-6.784086240441735E-3</v>
          </cell>
          <cell r="W143">
            <v>0.45019679046123351</v>
          </cell>
          <cell r="X143">
            <v>0.45257848113467769</v>
          </cell>
          <cell r="Y143">
            <v>2.8524404116032748E-3</v>
          </cell>
          <cell r="AA143" t="str">
            <v>Midland Region Total</v>
          </cell>
          <cell r="AD143">
            <v>5.7825710226157975E-3</v>
          </cell>
          <cell r="AF143">
            <v>0.55274301249419422</v>
          </cell>
          <cell r="AG143">
            <v>0.54845745685453851</v>
          </cell>
          <cell r="AH143">
            <v>5.9763806812288978E-3</v>
          </cell>
          <cell r="AJ143">
            <v>0.44725698750580573</v>
          </cell>
          <cell r="AK143">
            <v>0.45154254314546149</v>
          </cell>
          <cell r="AL143">
            <v>-1.1296826660836827E-2</v>
          </cell>
          <cell r="AN143" t="str">
            <v>Midland Region Total</v>
          </cell>
          <cell r="AQ143">
            <v>7.0853108376390138E-3</v>
          </cell>
          <cell r="AS143">
            <v>0.55345841239564098</v>
          </cell>
          <cell r="AT143">
            <v>0.55229337683309909</v>
          </cell>
          <cell r="AU143">
            <v>3.159815076874432E-3</v>
          </cell>
          <cell r="AW143">
            <v>0.44654158760435925</v>
          </cell>
          <cell r="AX143">
            <v>0.44770662316690085</v>
          </cell>
          <cell r="AY143">
            <v>-1.5568039314171258E-3</v>
          </cell>
        </row>
        <row r="145">
          <cell r="N145" t="str">
            <v>Capital &amp; Coast DHB</v>
          </cell>
          <cell r="Q145">
            <v>2.0100510051403904E-2</v>
          </cell>
          <cell r="S145">
            <v>0.63728817837315344</v>
          </cell>
          <cell r="T145">
            <v>0.62932866205055371</v>
          </cell>
          <cell r="U145">
            <v>-3.1882741612237045E-2</v>
          </cell>
          <cell r="W145">
            <v>0.36271182162684662</v>
          </cell>
          <cell r="X145">
            <v>0.37067133794944634</v>
          </cell>
          <cell r="Y145">
            <v>2.886255063550976E-3</v>
          </cell>
          <cell r="AA145" t="str">
            <v>Capital &amp; Coast DHB</v>
          </cell>
          <cell r="AD145">
            <v>3.2123178369345355E-2</v>
          </cell>
          <cell r="AF145">
            <v>0.63511662799206992</v>
          </cell>
          <cell r="AG145">
            <v>0.63122890920279784</v>
          </cell>
          <cell r="AH145">
            <v>1.8179989561693002E-2</v>
          </cell>
          <cell r="AJ145">
            <v>0.36488337200793008</v>
          </cell>
          <cell r="AK145">
            <v>0.36877109079720222</v>
          </cell>
          <cell r="AL145">
            <v>1.2791199982859389E-3</v>
          </cell>
          <cell r="AN145" t="str">
            <v>Capital &amp; Coast DHB</v>
          </cell>
          <cell r="AQ145">
            <v>1.3623732679008745E-2</v>
          </cell>
          <cell r="AS145">
            <v>0.63151230709467543</v>
          </cell>
          <cell r="AT145">
            <v>0.62654569211396149</v>
          </cell>
          <cell r="AU145">
            <v>1.5450343301304693E-2</v>
          </cell>
          <cell r="AW145">
            <v>0.36848769290532457</v>
          </cell>
          <cell r="AX145">
            <v>0.37345430788603856</v>
          </cell>
          <cell r="AY145">
            <v>-5.9341957208979166E-3</v>
          </cell>
        </row>
        <row r="146">
          <cell r="N146" t="str">
            <v>Hawke's Bay DHB</v>
          </cell>
          <cell r="Q146">
            <v>6.8323952166537165E-3</v>
          </cell>
          <cell r="S146">
            <v>0.52201505384442892</v>
          </cell>
          <cell r="T146">
            <v>0.52525067896822264</v>
          </cell>
          <cell r="U146">
            <v>2.8388453562829414E-4</v>
          </cell>
          <cell r="W146">
            <v>0.47798494615557113</v>
          </cell>
          <cell r="X146">
            <v>0.47474932103177736</v>
          </cell>
          <cell r="Y146">
            <v>-1.2768429441150969E-2</v>
          </cell>
          <cell r="AA146" t="str">
            <v>Hawke's Bay DHB</v>
          </cell>
          <cell r="AD146">
            <v>-4.547272655731828E-3</v>
          </cell>
          <cell r="AF146">
            <v>0.53219961183059206</v>
          </cell>
          <cell r="AG146">
            <v>0.52908169383962567</v>
          </cell>
          <cell r="AH146">
            <v>-1.6786307364337786E-2</v>
          </cell>
          <cell r="AJ146">
            <v>0.46780038816940794</v>
          </cell>
          <cell r="AK146">
            <v>0.47091830616037439</v>
          </cell>
          <cell r="AL146">
            <v>-2.901816673494071E-2</v>
          </cell>
          <cell r="AN146" t="str">
            <v>Hawke's Bay DHB</v>
          </cell>
          <cell r="AQ146">
            <v>-2.68211450584506E-3</v>
          </cell>
          <cell r="AS146">
            <v>0.53841553365248951</v>
          </cell>
          <cell r="AT146">
            <v>0.52771028445049861</v>
          </cell>
          <cell r="AU146">
            <v>7.6146373373292293E-3</v>
          </cell>
          <cell r="AW146">
            <v>0.4615844663475106</v>
          </cell>
          <cell r="AX146">
            <v>0.47228971554950139</v>
          </cell>
          <cell r="AY146">
            <v>-3.4804826948580503E-2</v>
          </cell>
        </row>
        <row r="147">
          <cell r="N147" t="str">
            <v>Hutt Valley DHB</v>
          </cell>
          <cell r="Q147">
            <v>6.2112833960399801E-3</v>
          </cell>
          <cell r="S147">
            <v>0.44629185896906243</v>
          </cell>
          <cell r="T147">
            <v>0.45125389594821386</v>
          </cell>
          <cell r="U147">
            <v>-4.4044671604203632E-3</v>
          </cell>
          <cell r="W147">
            <v>0.55370814103093757</v>
          </cell>
          <cell r="X147">
            <v>0.54874610405178614</v>
          </cell>
          <cell r="Y147">
            <v>-2.4755113988867625E-2</v>
          </cell>
          <cell r="AA147" t="str">
            <v>Hutt Valley DHB</v>
          </cell>
          <cell r="AD147">
            <v>1.2543341287003207E-2</v>
          </cell>
          <cell r="AF147">
            <v>0.44946888523755524</v>
          </cell>
          <cell r="AG147">
            <v>0.4495395566938476</v>
          </cell>
          <cell r="AH147">
            <v>1.7029031041849944E-2</v>
          </cell>
          <cell r="AJ147">
            <v>0.55053111476244476</v>
          </cell>
          <cell r="AK147">
            <v>0.5504604433061524</v>
          </cell>
          <cell r="AL147">
            <v>1.7319534724598015E-2</v>
          </cell>
          <cell r="AN147" t="str">
            <v>Hutt Valley DHB</v>
          </cell>
          <cell r="AQ147">
            <v>4.2514874243773718E-3</v>
          </cell>
          <cell r="AS147">
            <v>0.44493524236801535</v>
          </cell>
          <cell r="AT147">
            <v>0.44247870317847143</v>
          </cell>
          <cell r="AU147">
            <v>5.9513226223765828E-3</v>
          </cell>
          <cell r="AW147">
            <v>0.5550647576319846</v>
          </cell>
          <cell r="AX147">
            <v>0.55752129682152851</v>
          </cell>
          <cell r="AY147">
            <v>-4.0105823473832848E-3</v>
          </cell>
        </row>
        <row r="148">
          <cell r="N148" t="str">
            <v>MidCentral DHB</v>
          </cell>
          <cell r="Q148">
            <v>1.6883366965005676E-2</v>
          </cell>
          <cell r="S148">
            <v>0.53694807502625597</v>
          </cell>
          <cell r="T148">
            <v>0.53014108335095611</v>
          </cell>
          <cell r="U148">
            <v>-2.1658441701523042E-2</v>
          </cell>
          <cell r="W148">
            <v>0.46305192497374398</v>
          </cell>
          <cell r="X148">
            <v>0.46985891664904383</v>
          </cell>
          <cell r="Y148">
            <v>5.9067606261680641E-3</v>
          </cell>
          <cell r="AA148" t="str">
            <v>MidCentral DHB</v>
          </cell>
          <cell r="AD148">
            <v>2.3642799927650449E-2</v>
          </cell>
          <cell r="AF148">
            <v>0.54002985928517966</v>
          </cell>
          <cell r="AG148">
            <v>0.53975318309116405</v>
          </cell>
          <cell r="AH148">
            <v>2.0058621506395074E-2</v>
          </cell>
          <cell r="AJ148">
            <v>0.45997014071482034</v>
          </cell>
          <cell r="AK148">
            <v>0.46024681690883595</v>
          </cell>
          <cell r="AL148">
            <v>1.8923118321571487E-2</v>
          </cell>
          <cell r="AN148" t="str">
            <v>MidCentral DHB</v>
          </cell>
          <cell r="AQ148">
            <v>7.5659441912824905E-3</v>
          </cell>
          <cell r="AS148">
            <v>0.53737676300044601</v>
          </cell>
          <cell r="AT148">
            <v>0.53757985765875194</v>
          </cell>
          <cell r="AU148">
            <v>8.6652634966722757E-3</v>
          </cell>
          <cell r="AW148">
            <v>0.46262323699955399</v>
          </cell>
          <cell r="AX148">
            <v>0.46242014234124806</v>
          </cell>
          <cell r="AY148">
            <v>9.4896482285570447E-3</v>
          </cell>
        </row>
        <row r="149">
          <cell r="N149" t="str">
            <v>Wairarapa DHB</v>
          </cell>
          <cell r="Q149">
            <v>5.4523908677680758E-3</v>
          </cell>
          <cell r="S149">
            <v>0.43417229059150458</v>
          </cell>
          <cell r="T149">
            <v>0.43457571458177241</v>
          </cell>
          <cell r="U149">
            <v>-2.989673703710497E-3</v>
          </cell>
          <cell r="W149">
            <v>0.56582770940849547</v>
          </cell>
          <cell r="X149">
            <v>0.56542428541822765</v>
          </cell>
          <cell r="Y149">
            <v>-4.6379181527270675E-3</v>
          </cell>
          <cell r="AA149" t="str">
            <v>Wairarapa DHB</v>
          </cell>
          <cell r="AD149">
            <v>9.0061226004837132E-3</v>
          </cell>
          <cell r="AF149">
            <v>0.43611033367540503</v>
          </cell>
          <cell r="AG149">
            <v>0.43592088640456472</v>
          </cell>
          <cell r="AH149">
            <v>7.3317135338373651E-3</v>
          </cell>
          <cell r="AJ149">
            <v>0.56388966632459492</v>
          </cell>
          <cell r="AK149">
            <v>0.56407911359543528</v>
          </cell>
          <cell r="AL149">
            <v>6.5559587480234546E-3</v>
          </cell>
          <cell r="AN149" t="str">
            <v>Wairarapa DHB</v>
          </cell>
          <cell r="AQ149">
            <v>9.9304432920696746E-3</v>
          </cell>
          <cell r="AS149">
            <v>0.42331658906193848</v>
          </cell>
          <cell r="AT149">
            <v>0.42421004009769259</v>
          </cell>
          <cell r="AU149">
            <v>6.7039461865430914E-3</v>
          </cell>
          <cell r="AW149">
            <v>0.57668341093806152</v>
          </cell>
          <cell r="AX149">
            <v>0.57578995990230741</v>
          </cell>
          <cell r="AY149">
            <v>1.0394088809073858E-2</v>
          </cell>
        </row>
        <row r="150">
          <cell r="N150" t="str">
            <v>Whanganui DHB</v>
          </cell>
          <cell r="Q150">
            <v>8.823096674371254E-3</v>
          </cell>
          <cell r="S150">
            <v>0.49943398021308982</v>
          </cell>
          <cell r="T150">
            <v>0.49577311414024666</v>
          </cell>
          <cell r="U150">
            <v>-1.1550837170767422E-2</v>
          </cell>
          <cell r="W150">
            <v>0.50056601978691018</v>
          </cell>
          <cell r="X150">
            <v>0.50422688585975339</v>
          </cell>
          <cell r="Y150">
            <v>3.1542454438676921E-3</v>
          </cell>
          <cell r="AA150" t="str">
            <v>Whanganui DHB</v>
          </cell>
          <cell r="AD150">
            <v>1.0790540698900789E-2</v>
          </cell>
          <cell r="AF150">
            <v>0.5099020502411501</v>
          </cell>
          <cell r="AG150">
            <v>0.51229287271193191</v>
          </cell>
          <cell r="AH150">
            <v>2.1868423460517888E-3</v>
          </cell>
          <cell r="AJ150">
            <v>0.4900979497588499</v>
          </cell>
          <cell r="AK150">
            <v>0.48770712728806809</v>
          </cell>
          <cell r="AL150">
            <v>1.1821807871594021E-2</v>
          </cell>
          <cell r="AN150" t="str">
            <v>Whanganui DHB</v>
          </cell>
          <cell r="AQ150">
            <v>7.7263298334110083E-3</v>
          </cell>
          <cell r="AS150">
            <v>0.50410685534163324</v>
          </cell>
          <cell r="AT150">
            <v>0.51131763394284979</v>
          </cell>
          <cell r="AU150">
            <v>-6.791292847696322E-3</v>
          </cell>
          <cell r="AW150">
            <v>0.49589314465836676</v>
          </cell>
          <cell r="AX150">
            <v>0.48868236605715015</v>
          </cell>
          <cell r="AY150">
            <v>2.2280606615928344E-2</v>
          </cell>
        </row>
        <row r="151">
          <cell r="N151" t="str">
            <v>Central Region Total</v>
          </cell>
          <cell r="Q151">
            <v>1.3212710771747495E-2</v>
          </cell>
          <cell r="S151">
            <v>0.54534581189979126</v>
          </cell>
          <cell r="T151">
            <v>0.54217178135168009</v>
          </cell>
          <cell r="U151">
            <v>-1.8123691724920166E-2</v>
          </cell>
          <cell r="W151">
            <v>0.45465418810020886</v>
          </cell>
          <cell r="X151">
            <v>0.45782821864831996</v>
          </cell>
          <cell r="Y151">
            <v>-5.1806274959055329E-3</v>
          </cell>
          <cell r="AA151" t="str">
            <v>Central Region Total</v>
          </cell>
          <cell r="AD151">
            <v>1.7904604929690919E-2</v>
          </cell>
          <cell r="AF151">
            <v>0.54816939509410623</v>
          </cell>
          <cell r="AG151">
            <v>0.54641974323182896</v>
          </cell>
          <cell r="AH151">
            <v>1.0783863846188443E-2</v>
          </cell>
          <cell r="AJ151">
            <v>0.45183060490589383</v>
          </cell>
          <cell r="AK151">
            <v>0.4535802567681711</v>
          </cell>
          <cell r="AL151">
            <v>3.6710569826023704E-3</v>
          </cell>
          <cell r="AN151" t="str">
            <v>Central Region Total</v>
          </cell>
          <cell r="AQ151">
            <v>7.4040840885381144E-3</v>
          </cell>
          <cell r="AS151">
            <v>0.5454802594012772</v>
          </cell>
          <cell r="AT151">
            <v>0.54210293953032906</v>
          </cell>
          <cell r="AU151">
            <v>9.448422177423324E-3</v>
          </cell>
          <cell r="AW151">
            <v>0.4545197405987228</v>
          </cell>
          <cell r="AX151">
            <v>0.45789706046967094</v>
          </cell>
          <cell r="AY151">
            <v>-4.2008481421566815E-3</v>
          </cell>
        </row>
        <row r="153">
          <cell r="N153" t="str">
            <v>Canterbury DHB</v>
          </cell>
          <cell r="Q153">
            <v>3.0413699398538416E-2</v>
          </cell>
          <cell r="S153">
            <v>0.56420900633970505</v>
          </cell>
          <cell r="T153">
            <v>0.55342314902811951</v>
          </cell>
          <cell r="U153">
            <v>-1.0416317016942962E-2</v>
          </cell>
          <cell r="W153">
            <v>0.435790993660295</v>
          </cell>
          <cell r="X153">
            <v>0.44657685097188055</v>
          </cell>
          <cell r="Y153">
            <v>3.28369384359401E-2</v>
          </cell>
          <cell r="AA153" t="str">
            <v>Canterbury DHB</v>
          </cell>
          <cell r="AD153">
            <v>2.3809488901269684E-2</v>
          </cell>
          <cell r="AF153">
            <v>0.57233459121155572</v>
          </cell>
          <cell r="AG153">
            <v>0.56011708883308153</v>
          </cell>
          <cell r="AH153">
            <v>1.4108878117673937E-2</v>
          </cell>
          <cell r="AJ153">
            <v>0.42766540878844422</v>
          </cell>
          <cell r="AK153">
            <v>0.43988291116691847</v>
          </cell>
          <cell r="AL153">
            <v>-3.5104132231404961E-2</v>
          </cell>
          <cell r="AN153" t="str">
            <v>Canterbury DHB</v>
          </cell>
          <cell r="AQ153">
            <v>3.3278449592351426E-3</v>
          </cell>
          <cell r="AS153">
            <v>0.58650484371274314</v>
          </cell>
          <cell r="AT153">
            <v>0.58221647095780482</v>
          </cell>
          <cell r="AU153">
            <v>4.3201436973667679E-3</v>
          </cell>
          <cell r="AW153">
            <v>0.4134951562872568</v>
          </cell>
          <cell r="AX153">
            <v>0.41778352904219512</v>
          </cell>
          <cell r="AY153">
            <v>-1.3256736167207881E-2</v>
          </cell>
        </row>
        <row r="154">
          <cell r="N154" t="str">
            <v>Nelson Marlborough DHB</v>
          </cell>
          <cell r="Q154">
            <v>7.8655963061328004E-3</v>
          </cell>
          <cell r="S154">
            <v>0.53593703886214006</v>
          </cell>
          <cell r="T154">
            <v>0.5408729373808111</v>
          </cell>
          <cell r="U154">
            <v>-6.2180897156068815E-3</v>
          </cell>
          <cell r="W154">
            <v>0.46406296113786</v>
          </cell>
          <cell r="X154">
            <v>0.45912706261918884</v>
          </cell>
          <cell r="Y154">
            <v>-2.6402296093276403E-2</v>
          </cell>
          <cell r="AA154" t="str">
            <v>Nelson Marlborough DHB</v>
          </cell>
          <cell r="AD154">
            <v>7.4482619772083545E-3</v>
          </cell>
          <cell r="AF154">
            <v>0.53447034066878696</v>
          </cell>
          <cell r="AG154">
            <v>0.53140093381854481</v>
          </cell>
          <cell r="AH154">
            <v>-2.9954868742616787E-4</v>
          </cell>
          <cell r="AJ154">
            <v>0.46552965933121299</v>
          </cell>
          <cell r="AK154">
            <v>0.4685990661814553</v>
          </cell>
          <cell r="AL154">
            <v>-1.2551332289896123E-2</v>
          </cell>
          <cell r="AN154" t="str">
            <v>Nelson Marlborough DHB</v>
          </cell>
          <cell r="AQ154">
            <v>2.549056316058681E-3</v>
          </cell>
          <cell r="AS154">
            <v>0.53550487299388438</v>
          </cell>
          <cell r="AT154">
            <v>0.5381343208783429</v>
          </cell>
          <cell r="AU154">
            <v>-6.921092807421318E-4</v>
          </cell>
          <cell r="AW154">
            <v>0.46449512700611556</v>
          </cell>
          <cell r="AX154">
            <v>0.46186567912165716</v>
          </cell>
          <cell r="AY154">
            <v>9.9318100823400021E-3</v>
          </cell>
        </row>
        <row r="155">
          <cell r="N155" t="str">
            <v>South Canterbury DHB</v>
          </cell>
          <cell r="Q155">
            <v>8.7614328580792201E-3</v>
          </cell>
          <cell r="S155">
            <v>0.48908469226722778</v>
          </cell>
          <cell r="T155">
            <v>0.48624282789688028</v>
          </cell>
          <cell r="U155">
            <v>-8.8035115407378173E-3</v>
          </cell>
          <cell r="W155">
            <v>0.51091530773277227</v>
          </cell>
          <cell r="X155">
            <v>0.51375717210311977</v>
          </cell>
          <cell r="Y155">
            <v>2.6060239741865841E-3</v>
          </cell>
          <cell r="AA155" t="str">
            <v>South Canterbury DHB</v>
          </cell>
          <cell r="AD155">
            <v>1.1706827426423816E-2</v>
          </cell>
          <cell r="AF155">
            <v>0.502954370410437</v>
          </cell>
          <cell r="AG155">
            <v>0.49671927128675847</v>
          </cell>
          <cell r="AH155">
            <v>6.2577928341214385E-3</v>
          </cell>
          <cell r="AJ155">
            <v>0.497045629589563</v>
          </cell>
          <cell r="AK155">
            <v>0.50328072871324148</v>
          </cell>
          <cell r="AL155">
            <v>-1.8528623007534509E-2</v>
          </cell>
          <cell r="AN155" t="str">
            <v>South Canterbury DHB</v>
          </cell>
          <cell r="AQ155">
            <v>3.7074309636905244E-2</v>
          </cell>
          <cell r="AS155">
            <v>0.48994648844793531</v>
          </cell>
          <cell r="AT155">
            <v>0.49497675987923284</v>
          </cell>
          <cell r="AU155">
            <v>2.8911584613395703E-3</v>
          </cell>
          <cell r="AW155">
            <v>0.51005351155206469</v>
          </cell>
          <cell r="AX155">
            <v>0.50502324012076716</v>
          </cell>
          <cell r="AY155">
            <v>2.3279655355127053E-2</v>
          </cell>
        </row>
        <row r="156">
          <cell r="N156" t="str">
            <v>Southern DHB</v>
          </cell>
          <cell r="Q156">
            <v>-1.9252217508547781E-3</v>
          </cell>
          <cell r="S156">
            <v>0.54190129933894282</v>
          </cell>
          <cell r="T156">
            <v>0.54257204551216898</v>
          </cell>
          <cell r="U156">
            <v>7.0279660789140724E-4</v>
          </cell>
          <cell r="W156">
            <v>0.45809870066105718</v>
          </cell>
          <cell r="X156">
            <v>0.45742795448783102</v>
          </cell>
          <cell r="Y156">
            <v>-2.0012239022642294E-3</v>
          </cell>
          <cell r="AA156" t="str">
            <v>Southern DHB</v>
          </cell>
          <cell r="AD156">
            <v>8.6922688351184097E-3</v>
          </cell>
          <cell r="AF156">
            <v>0.53773229438155279</v>
          </cell>
          <cell r="AG156">
            <v>0.54475378723436363</v>
          </cell>
          <cell r="AH156">
            <v>-1.6152635349585746E-3</v>
          </cell>
          <cell r="AJ156">
            <v>0.46226770561844727</v>
          </cell>
          <cell r="AK156">
            <v>0.45524621276563637</v>
          </cell>
          <cell r="AL156">
            <v>2.7020906325399642E-2</v>
          </cell>
          <cell r="AN156" t="str">
            <v>Southern DHB</v>
          </cell>
          <cell r="AQ156">
            <v>3.1878379368610954E-3</v>
          </cell>
          <cell r="AS156">
            <v>0.5502735626557731</v>
          </cell>
          <cell r="AT156">
            <v>0.55613865026632614</v>
          </cell>
          <cell r="AU156">
            <v>1.85959109556559E-3</v>
          </cell>
          <cell r="AW156">
            <v>0.44972643734422696</v>
          </cell>
          <cell r="AX156">
            <v>0.44386134973367392</v>
          </cell>
          <cell r="AY156">
            <v>2.5917362087023898E-2</v>
          </cell>
        </row>
        <row r="157">
          <cell r="N157" t="str">
            <v>West Coast DHB</v>
          </cell>
          <cell r="Q157">
            <v>4.7592318335859581E-3</v>
          </cell>
          <cell r="S157">
            <v>0.5774931262755415</v>
          </cell>
          <cell r="T157">
            <v>0.56865015269648089</v>
          </cell>
          <cell r="U157">
            <v>3.9071842976362023E-3</v>
          </cell>
          <cell r="W157">
            <v>0.42250687372445855</v>
          </cell>
          <cell r="X157">
            <v>0.43134984730351922</v>
          </cell>
          <cell r="Y157">
            <v>3.9267950536735367E-2</v>
          </cell>
          <cell r="AA157" t="str">
            <v>West Coast DHB</v>
          </cell>
          <cell r="AD157">
            <v>4.2077280346496642E-3</v>
          </cell>
          <cell r="AF157">
            <v>0.59029921444680122</v>
          </cell>
          <cell r="AG157">
            <v>0.56809721896810894</v>
          </cell>
          <cell r="AH157">
            <v>-1.1882341384004338E-2</v>
          </cell>
          <cell r="AJ157">
            <v>0.40970078555319883</v>
          </cell>
          <cell r="AK157">
            <v>0.43190278103189106</v>
          </cell>
          <cell r="AL157">
            <v>-9.7930675078869975E-2</v>
          </cell>
          <cell r="AN157" t="str">
            <v>West Coast DHB</v>
          </cell>
          <cell r="AQ157">
            <v>7.8539202439930154E-3</v>
          </cell>
          <cell r="AS157">
            <v>0.58687351229833373</v>
          </cell>
          <cell r="AT157">
            <v>0.56500984639621898</v>
          </cell>
          <cell r="AU157">
            <v>-1.0051862592014276E-2</v>
          </cell>
          <cell r="AW157">
            <v>0.41312648770166621</v>
          </cell>
          <cell r="AX157">
            <v>0.43499015360378102</v>
          </cell>
          <cell r="AY157">
            <v>-9.4835391691717064E-2</v>
          </cell>
        </row>
        <row r="158">
          <cell r="N158" t="str">
            <v>Southern Region Total</v>
          </cell>
          <cell r="Q158">
            <v>1.5659945976333214E-2</v>
          </cell>
          <cell r="S158">
            <v>0.5499219398664229</v>
          </cell>
          <cell r="T158">
            <v>0.54523069839140759</v>
          </cell>
          <cell r="U158">
            <v>-5.986003862194716E-3</v>
          </cell>
          <cell r="W158">
            <v>0.45007806013357698</v>
          </cell>
          <cell r="X158">
            <v>0.45476930160859252</v>
          </cell>
          <cell r="Y158">
            <v>1.2884675662210856E-2</v>
          </cell>
          <cell r="AA158" t="str">
            <v>Southern Region Total</v>
          </cell>
          <cell r="AD158">
            <v>1.5698156172965626E-2</v>
          </cell>
          <cell r="AF158">
            <v>0.55387244613757358</v>
          </cell>
          <cell r="AG158">
            <v>0.54844278157304915</v>
          </cell>
          <cell r="AH158">
            <v>6.1855467312910625E-3</v>
          </cell>
          <cell r="AJ158">
            <v>0.44612755386242631</v>
          </cell>
          <cell r="AK158">
            <v>0.45155721842695085</v>
          </cell>
          <cell r="AL158">
            <v>-1.5658270062109691E-2</v>
          </cell>
          <cell r="AN158" t="str">
            <v>Southern Region Total</v>
          </cell>
          <cell r="AQ158">
            <v>5.3727357393891107E-3</v>
          </cell>
          <cell r="AS158">
            <v>0.56353937751159922</v>
          </cell>
          <cell r="AT158">
            <v>0.56303358436825524</v>
          </cell>
          <cell r="AU158">
            <v>2.2877165558426215E-3</v>
          </cell>
          <cell r="AW158">
            <v>0.43646062248840078</v>
          </cell>
          <cell r="AX158">
            <v>0.43696641563174471</v>
          </cell>
          <cell r="AY158">
            <v>2.2901677440498333E-4</v>
          </cell>
        </row>
        <row r="160">
          <cell r="N160" t="str">
            <v>All DHBs</v>
          </cell>
          <cell r="Q160">
            <v>8.5961783992179828E-3</v>
          </cell>
          <cell r="S160">
            <v>0.54684069534147728</v>
          </cell>
          <cell r="T160">
            <v>0.54232909670652862</v>
          </cell>
          <cell r="U160">
            <v>-9.2465119985543735E-3</v>
          </cell>
          <cell r="W160">
            <v>0.453159301527855</v>
          </cell>
          <cell r="X160">
            <v>0.45767090361671159</v>
          </cell>
          <cell r="Y160">
            <v>8.9468836541306933E-3</v>
          </cell>
          <cell r="AA160" t="str">
            <v>All DHBs</v>
          </cell>
          <cell r="AD160">
            <v>1.0251293604097383E-2</v>
          </cell>
          <cell r="AF160">
            <v>0.55259663414319937</v>
          </cell>
          <cell r="AG160">
            <v>0.54724024298801055</v>
          </cell>
          <cell r="AH160">
            <v>1.0158782100020278E-2</v>
          </cell>
          <cell r="AJ160">
            <v>0.44736121754492841</v>
          </cell>
          <cell r="AK160">
            <v>0.45275975701122156</v>
          </cell>
          <cell r="AL160">
            <v>-1.1560825907563703E-2</v>
          </cell>
          <cell r="AN160" t="str">
            <v>All DHBs</v>
          </cell>
          <cell r="AQ160">
            <v>5.6661320567083142E-3</v>
          </cell>
          <cell r="AS160">
            <v>0.5584905222329386</v>
          </cell>
          <cell r="AT160">
            <v>0.55118380330199868</v>
          </cell>
          <cell r="AU160">
            <v>1.3960798410882118E-2</v>
          </cell>
          <cell r="AW160">
            <v>0.44148202671336578</v>
          </cell>
          <cell r="AX160">
            <v>0.44881618083169328</v>
          </cell>
          <cell r="AY160">
            <v>-1.5657296743682932E-2</v>
          </cell>
        </row>
        <row r="225">
          <cell r="B225">
            <v>13841550.576590011</v>
          </cell>
          <cell r="O225">
            <v>14339922.648920005</v>
          </cell>
          <cell r="AB225">
            <v>15127435.54813</v>
          </cell>
          <cell r="AO225">
            <v>11978308.814220002</v>
          </cell>
        </row>
        <row r="231">
          <cell r="A231" t="str">
            <v>Auckland DHB</v>
          </cell>
          <cell r="D231">
            <v>-2.7386272770211523E-2</v>
          </cell>
          <cell r="F231">
            <v>0.67516723555969704</v>
          </cell>
          <cell r="G231">
            <v>0.64720520464762843</v>
          </cell>
          <cell r="H231">
            <v>4.8642749016891791E-3</v>
          </cell>
          <cell r="J231">
            <v>0.3248327644403029</v>
          </cell>
          <cell r="K231">
            <v>0.35279479535237163</v>
          </cell>
          <cell r="L231">
            <v>-0.11309785069000904</v>
          </cell>
          <cell r="N231" t="str">
            <v>Auckland DHB</v>
          </cell>
          <cell r="Q231">
            <v>-2.3322718196998566E-2</v>
          </cell>
          <cell r="S231">
            <v>0.68066362462179886</v>
          </cell>
          <cell r="T231">
            <v>0.64304432084182095</v>
          </cell>
          <cell r="U231">
            <v>7.4810161055386196E-3</v>
          </cell>
          <cell r="W231">
            <v>0.3193363753782012</v>
          </cell>
          <cell r="X231">
            <v>0.35695567915817905</v>
          </cell>
          <cell r="AA231" t="str">
            <v>Auckland DHB</v>
          </cell>
          <cell r="AD231">
            <v>-1.5206731846599615E-4</v>
          </cell>
          <cell r="AF231">
            <v>0.68295315499865572</v>
          </cell>
          <cell r="AG231">
            <v>0.66991949612780832</v>
          </cell>
          <cell r="AH231">
            <v>2.7621558859543317E-3</v>
          </cell>
          <cell r="AJ231">
            <v>0.31704684500134428</v>
          </cell>
          <cell r="AK231">
            <v>0.33008050387219168</v>
          </cell>
          <cell r="AN231" t="str">
            <v>Auckland DHB</v>
          </cell>
          <cell r="AQ231">
            <v>2.0827730343463854E-2</v>
          </cell>
          <cell r="AS231">
            <v>0.67893602146543419</v>
          </cell>
          <cell r="AT231">
            <v>0.67457709068339622</v>
          </cell>
          <cell r="AU231">
            <v>1.2013389832106106E-2</v>
          </cell>
          <cell r="AW231">
            <v>0.32106397853456575</v>
          </cell>
          <cell r="AX231">
            <v>0.32542290931660384</v>
          </cell>
          <cell r="AY231">
            <v>-7.9525269569961209E-3</v>
          </cell>
        </row>
        <row r="232">
          <cell r="A232" t="str">
            <v>Counties Manukau DHB</v>
          </cell>
          <cell r="D232">
            <v>-7.4938616118192256E-3</v>
          </cell>
          <cell r="F232">
            <v>0.54497782740582423</v>
          </cell>
          <cell r="G232">
            <v>0.53379875081064643</v>
          </cell>
          <cell r="H232">
            <v>1.2971372292397892E-2</v>
          </cell>
          <cell r="J232">
            <v>0.45502217259417571</v>
          </cell>
          <cell r="K232">
            <v>0.46620124918935357</v>
          </cell>
          <cell r="L232">
            <v>-3.1599469608442669E-2</v>
          </cell>
          <cell r="N232" t="str">
            <v>Counties Manukau DHB</v>
          </cell>
          <cell r="Q232">
            <v>-1.1514856412094879E-2</v>
          </cell>
          <cell r="S232">
            <v>0.54433545109392611</v>
          </cell>
          <cell r="T232">
            <v>0.545724323190384</v>
          </cell>
          <cell r="U232">
            <v>-4.5729176937218483E-3</v>
          </cell>
          <cell r="W232">
            <v>0.45566454890607394</v>
          </cell>
          <cell r="X232">
            <v>0.45427567680961606</v>
          </cell>
          <cell r="AA232" t="str">
            <v>Counties Manukau DHB</v>
          </cell>
          <cell r="AD232">
            <v>1.6078451381965758E-2</v>
          </cell>
          <cell r="AF232">
            <v>0.54070730299942427</v>
          </cell>
          <cell r="AG232">
            <v>0.54704713803167038</v>
          </cell>
          <cell r="AH232">
            <v>3.8737091634995584E-3</v>
          </cell>
          <cell r="AJ232">
            <v>0.45929269700057573</v>
          </cell>
          <cell r="AK232">
            <v>0.45295286196832962</v>
          </cell>
          <cell r="AN232" t="str">
            <v>Counties Manukau DHB</v>
          </cell>
          <cell r="AQ232">
            <v>7.4826049990379506E-4</v>
          </cell>
          <cell r="AS232">
            <v>0.54593579610244691</v>
          </cell>
          <cell r="AT232">
            <v>0.55051823002251465</v>
          </cell>
          <cell r="AU232">
            <v>-3.9337981422493482E-3</v>
          </cell>
          <cell r="AW232">
            <v>0.45406420389755309</v>
          </cell>
          <cell r="AX232">
            <v>0.44948176997748535</v>
          </cell>
          <cell r="AY232">
            <v>1.4666964953156289E-2</v>
          </cell>
        </row>
        <row r="233">
          <cell r="A233" t="str">
            <v>Northland DHB</v>
          </cell>
          <cell r="D233">
            <v>9.9613758776407532E-3</v>
          </cell>
          <cell r="F233">
            <v>0.53777238104408254</v>
          </cell>
          <cell r="G233">
            <v>0.53269720838809265</v>
          </cell>
          <cell r="H233">
            <v>6.1401144341376576E-3</v>
          </cell>
          <cell r="J233">
            <v>0.46222761895591746</v>
          </cell>
          <cell r="K233">
            <v>0.46730279161190724</v>
          </cell>
          <cell r="L233">
            <v>-1.4179357467029375E-2</v>
          </cell>
          <cell r="N233" t="str">
            <v>Northland DHB</v>
          </cell>
          <cell r="Q233">
            <v>3.6234626399450961E-3</v>
          </cell>
          <cell r="S233">
            <v>0.53704635884596008</v>
          </cell>
          <cell r="T233">
            <v>0.53834351936580238</v>
          </cell>
          <cell r="U233">
            <v>-2.6165081098089011E-3</v>
          </cell>
          <cell r="W233">
            <v>0.46295364115403992</v>
          </cell>
          <cell r="X233">
            <v>0.46165648063419751</v>
          </cell>
          <cell r="AA233" t="str">
            <v>Northland DHB</v>
          </cell>
          <cell r="AD233">
            <v>1.6269622702898428E-2</v>
          </cell>
          <cell r="AF233">
            <v>0.53946198850452787</v>
          </cell>
          <cell r="AG233">
            <v>0.55209541316635879</v>
          </cell>
          <cell r="AH233">
            <v>-3.8488207103266735E-3</v>
          </cell>
          <cell r="AJ233">
            <v>0.46053801149547208</v>
          </cell>
          <cell r="AK233">
            <v>0.44790458683364115</v>
          </cell>
          <cell r="AN233" t="str">
            <v>Northland DHB</v>
          </cell>
          <cell r="AQ233">
            <v>1.0940219023580148E-2</v>
          </cell>
          <cell r="AS233">
            <v>0.5468290326801879</v>
          </cell>
          <cell r="AT233">
            <v>0.54959816215488988</v>
          </cell>
          <cell r="AU233">
            <v>-2.6696387609408589E-5</v>
          </cell>
          <cell r="AW233">
            <v>0.45317096731981205</v>
          </cell>
          <cell r="AX233">
            <v>0.45040183784511018</v>
          </cell>
          <cell r="AY233">
            <v>1.1216245079873047E-2</v>
          </cell>
        </row>
        <row r="234">
          <cell r="A234" t="str">
            <v>Waitemata DHB</v>
          </cell>
          <cell r="D234">
            <v>8.9428941868826758E-3</v>
          </cell>
          <cell r="F234">
            <v>0.52344226971337859</v>
          </cell>
          <cell r="G234">
            <v>0.50583042628132613</v>
          </cell>
          <cell r="H234">
            <v>3.374414164207603E-2</v>
          </cell>
          <cell r="J234">
            <v>0.47655773028662141</v>
          </cell>
          <cell r="K234">
            <v>0.49416957371867393</v>
          </cell>
          <cell r="L234">
            <v>-3.6639718997081995E-2</v>
          </cell>
          <cell r="N234" t="str">
            <v>Waitemata DHB</v>
          </cell>
          <cell r="Q234">
            <v>1.1145690279185634E-3</v>
          </cell>
          <cell r="S234">
            <v>0.52358875286691053</v>
          </cell>
          <cell r="T234">
            <v>0.50732229177709198</v>
          </cell>
          <cell r="U234">
            <v>2.2073426336445514E-2</v>
          </cell>
          <cell r="W234">
            <v>0.47641124713308952</v>
          </cell>
          <cell r="X234">
            <v>0.49267770822290802</v>
          </cell>
          <cell r="AA234" t="str">
            <v>Waitemata DHB</v>
          </cell>
          <cell r="AD234">
            <v>5.3447364102190047E-3</v>
          </cell>
          <cell r="AF234">
            <v>0.52316367371775796</v>
          </cell>
          <cell r="AG234">
            <v>0.51788825335587885</v>
          </cell>
          <cell r="AH234">
            <v>7.3103258057329833E-3</v>
          </cell>
          <cell r="AJ234">
            <v>0.47683632628224198</v>
          </cell>
          <cell r="AK234">
            <v>0.48211174664412121</v>
          </cell>
          <cell r="AN234" t="str">
            <v>Waitemata DHB</v>
          </cell>
          <cell r="AQ234">
            <v>1.6419749659158909E-2</v>
          </cell>
          <cell r="AS234">
            <v>0.51276509978649476</v>
          </cell>
          <cell r="AT234">
            <v>0.51626864626374391</v>
          </cell>
          <cell r="AU234">
            <v>8.4978491609165249E-3</v>
          </cell>
          <cell r="AW234">
            <v>0.48723490021350524</v>
          </cell>
          <cell r="AX234">
            <v>0.48373135373625603</v>
          </cell>
          <cell r="AY234">
            <v>2.2742774045762231E-2</v>
          </cell>
        </row>
        <row r="235">
          <cell r="A235" t="str">
            <v>Northern Region Total</v>
          </cell>
          <cell r="D235">
            <v>-8.0438807542920713E-3</v>
          </cell>
          <cell r="F235">
            <v>0.58259215937088271</v>
          </cell>
          <cell r="G235">
            <v>0.56545245439038572</v>
          </cell>
          <cell r="H235">
            <v>1.4277595974127274E-2</v>
          </cell>
          <cell r="J235">
            <v>0.4174078406291174</v>
          </cell>
          <cell r="K235">
            <v>0.43454754560961423</v>
          </cell>
          <cell r="L235">
            <v>-5.4391011125266911E-2</v>
          </cell>
          <cell r="N235" t="str">
            <v>Northern Region Total</v>
          </cell>
          <cell r="Q235">
            <v>-1.0527343626215439E-2</v>
          </cell>
          <cell r="S235">
            <v>0.58392405472307662</v>
          </cell>
          <cell r="T235">
            <v>0.56818571490040848</v>
          </cell>
          <cell r="U235">
            <v>7.0413636625138096E-3</v>
          </cell>
          <cell r="W235">
            <v>0.41607594527692343</v>
          </cell>
          <cell r="X235">
            <v>0.43181428509959141</v>
          </cell>
          <cell r="AA235" t="str">
            <v>Northern Region Total</v>
          </cell>
          <cell r="AD235">
            <v>7.4459270059734099E-3</v>
          </cell>
          <cell r="AF235">
            <v>0.58376679338674664</v>
          </cell>
          <cell r="AG235">
            <v>0.58156990936613751</v>
          </cell>
          <cell r="AH235">
            <v>3.5314642193041545E-3</v>
          </cell>
          <cell r="AJ235">
            <v>0.41623320661325336</v>
          </cell>
          <cell r="AK235">
            <v>0.41843009063386233</v>
          </cell>
          <cell r="AN235" t="str">
            <v>Northern Region Total</v>
          </cell>
          <cell r="AQ235">
            <v>1.3163512765048556E-2</v>
          </cell>
          <cell r="AS235">
            <v>0.58162365166094587</v>
          </cell>
          <cell r="AT235">
            <v>0.58284740056117956</v>
          </cell>
          <cell r="AU235">
            <v>5.8436711081194768E-3</v>
          </cell>
          <cell r="AW235">
            <v>0.41837634833905418</v>
          </cell>
          <cell r="AX235">
            <v>0.41715259943882033</v>
          </cell>
          <cell r="AY235">
            <v>1.0916915561373577E-2</v>
          </cell>
        </row>
        <row r="237">
          <cell r="A237" t="str">
            <v>Bay of Plenty DHB</v>
          </cell>
          <cell r="D237">
            <v>1.7272066006169724E-2</v>
          </cell>
          <cell r="F237">
            <v>0.50718983634273551</v>
          </cell>
          <cell r="G237">
            <v>0.49897184658731869</v>
          </cell>
          <cell r="H237">
            <v>3.4849396259136259E-2</v>
          </cell>
          <cell r="J237">
            <v>0.4928101636572646</v>
          </cell>
          <cell r="K237">
            <v>0.50102815341268125</v>
          </cell>
          <cell r="L237">
            <v>1.3829133108203824E-3</v>
          </cell>
          <cell r="N237" t="str">
            <v>Bay of Plenty DHB</v>
          </cell>
          <cell r="Q237">
            <v>6.0766915880257205E-3</v>
          </cell>
          <cell r="S237">
            <v>0.49964686882123427</v>
          </cell>
          <cell r="T237">
            <v>0.50106191104316644</v>
          </cell>
          <cell r="U237">
            <v>4.1738021382665117E-4</v>
          </cell>
          <cell r="W237">
            <v>0.50035313117876579</v>
          </cell>
          <cell r="X237">
            <v>0.49893808895683356</v>
          </cell>
          <cell r="AA237" t="str">
            <v>Bay of Plenty DHB</v>
          </cell>
          <cell r="AD237">
            <v>3.1994561616904399E-3</v>
          </cell>
          <cell r="AF237">
            <v>0.49755408845497884</v>
          </cell>
          <cell r="AG237">
            <v>0.48791973452925747</v>
          </cell>
          <cell r="AH237">
            <v>9.1797089275521253E-3</v>
          </cell>
          <cell r="AJ237">
            <v>0.50244591154502105</v>
          </cell>
          <cell r="AK237">
            <v>0.51208026547074259</v>
          </cell>
          <cell r="AN237" t="str">
            <v>Bay of Plenty DHB</v>
          </cell>
          <cell r="AQ237">
            <v>2.0217482507743703E-2</v>
          </cell>
          <cell r="AS237">
            <v>0.49901663325573775</v>
          </cell>
          <cell r="AT237">
            <v>0.49667547384985777</v>
          </cell>
          <cell r="AU237">
            <v>2.281675813207841E-2</v>
          </cell>
          <cell r="AW237">
            <v>0.50098336674426214</v>
          </cell>
          <cell r="AX237">
            <v>0.50332452615014223</v>
          </cell>
          <cell r="AY237">
            <v>1.3282965421279361E-2</v>
          </cell>
        </row>
        <row r="238">
          <cell r="A238" t="str">
            <v>Lakes DHB</v>
          </cell>
          <cell r="D238">
            <v>1.2587178978087468E-2</v>
          </cell>
          <cell r="F238">
            <v>0.49502407105626534</v>
          </cell>
          <cell r="G238">
            <v>0.49439511443439599</v>
          </cell>
          <cell r="H238">
            <v>1.6638031794288782E-2</v>
          </cell>
          <cell r="J238">
            <v>0.50497592894373466</v>
          </cell>
          <cell r="K238">
            <v>0.50560488556560401</v>
          </cell>
          <cell r="L238">
            <v>1.4083275563799425E-2</v>
          </cell>
          <cell r="N238" t="str">
            <v>Lakes DHB</v>
          </cell>
          <cell r="Q238">
            <v>7.8954643866323698E-3</v>
          </cell>
          <cell r="S238">
            <v>0.48605566983838849</v>
          </cell>
          <cell r="T238">
            <v>0.49208119965239666</v>
          </cell>
          <cell r="U238">
            <v>-5.1879644114196325E-3</v>
          </cell>
          <cell r="W238">
            <v>0.51394433016161156</v>
          </cell>
          <cell r="X238">
            <v>0.50791880034760328</v>
          </cell>
          <cell r="AA238" t="str">
            <v>Lakes DHB</v>
          </cell>
          <cell r="AD238">
            <v>1.0526522406014194E-2</v>
          </cell>
          <cell r="AF238">
            <v>0.49846543658679465</v>
          </cell>
          <cell r="AG238">
            <v>0.49897101128211385</v>
          </cell>
          <cell r="AH238">
            <v>8.4375744241695673E-3</v>
          </cell>
          <cell r="AJ238">
            <v>0.50153456341320535</v>
          </cell>
          <cell r="AK238">
            <v>0.50102898871788615</v>
          </cell>
          <cell r="AN238" t="str">
            <v>Lakes DHB</v>
          </cell>
          <cell r="AQ238">
            <v>1.5127710515673482E-2</v>
          </cell>
          <cell r="AS238">
            <v>0.4969321672022074</v>
          </cell>
          <cell r="AT238">
            <v>0.50523221932247198</v>
          </cell>
          <cell r="AU238">
            <v>3.825763003295601E-3</v>
          </cell>
          <cell r="AW238">
            <v>0.50306783279779255</v>
          </cell>
          <cell r="AX238">
            <v>0.49476778067752808</v>
          </cell>
          <cell r="AY238">
            <v>3.7713349281946612E-2</v>
          </cell>
        </row>
        <row r="239">
          <cell r="A239" t="str">
            <v>Tairawhiti DHB</v>
          </cell>
          <cell r="D239">
            <v>7.1988780874024678E-3</v>
          </cell>
          <cell r="F239">
            <v>0.53304234319278332</v>
          </cell>
          <cell r="G239">
            <v>0.53743246938638944</v>
          </cell>
          <cell r="H239">
            <v>4.2521991835414294E-3</v>
          </cell>
          <cell r="J239">
            <v>0.46695765680721663</v>
          </cell>
          <cell r="K239">
            <v>0.46256753061361061</v>
          </cell>
          <cell r="L239">
            <v>2.2132834330690531E-2</v>
          </cell>
          <cell r="N239" t="str">
            <v>Tairawhiti DHB</v>
          </cell>
          <cell r="Q239">
            <v>2.7963798059094012E-3</v>
          </cell>
          <cell r="S239">
            <v>0.52305308020147234</v>
          </cell>
          <cell r="T239">
            <v>0.5314134860237818</v>
          </cell>
          <cell r="U239">
            <v>4.1133433379745774E-3</v>
          </cell>
          <cell r="W239">
            <v>0.47694691979852771</v>
          </cell>
          <cell r="X239">
            <v>0.4685865139762182</v>
          </cell>
          <cell r="AA239" t="str">
            <v>Tairawhiti DHB</v>
          </cell>
          <cell r="AD239">
            <v>2.6510882626321033E-2</v>
          </cell>
          <cell r="AF239">
            <v>0.5115048943785212</v>
          </cell>
          <cell r="AG239">
            <v>0.52445198377199276</v>
          </cell>
          <cell r="AH239">
            <v>4.6494015412321633E-3</v>
          </cell>
          <cell r="AJ239">
            <v>0.4884951056214788</v>
          </cell>
          <cell r="AK239">
            <v>0.47554801622800724</v>
          </cell>
          <cell r="AN239" t="str">
            <v>Tairawhiti DHB</v>
          </cell>
          <cell r="AQ239">
            <v>2.678533793638219E-2</v>
          </cell>
          <cell r="AS239">
            <v>0.50904576090812348</v>
          </cell>
          <cell r="AT239">
            <v>0.5129391709555069</v>
          </cell>
          <cell r="AU239">
            <v>2.1855225944224749E-2</v>
          </cell>
          <cell r="AW239">
            <v>0.49095423909187658</v>
          </cell>
          <cell r="AX239">
            <v>0.48706082904449305</v>
          </cell>
          <cell r="AY239">
            <v>3.7901695140944956E-2</v>
          </cell>
        </row>
        <row r="240">
          <cell r="A240" t="str">
            <v>Taranaki DHB</v>
          </cell>
          <cell r="D240">
            <v>5.1193270211822937E-3</v>
          </cell>
          <cell r="F240">
            <v>0.52735362649348072</v>
          </cell>
          <cell r="G240">
            <v>0.51409654984739173</v>
          </cell>
          <cell r="H240">
            <v>2.3753812098864943E-2</v>
          </cell>
          <cell r="J240">
            <v>0.47264637350651928</v>
          </cell>
          <cell r="K240">
            <v>0.48590345015260827</v>
          </cell>
          <cell r="L240">
            <v>-2.9211480939349582E-2</v>
          </cell>
          <cell r="N240" t="str">
            <v>Taranaki DHB</v>
          </cell>
          <cell r="Q240">
            <v>-3.39008457915098E-3</v>
          </cell>
          <cell r="S240">
            <v>0.5366311321356243</v>
          </cell>
          <cell r="T240">
            <v>0.51466054463713806</v>
          </cell>
          <cell r="U240">
            <v>2.7886824275204281E-2</v>
          </cell>
          <cell r="W240">
            <v>0.4633688678643757</v>
          </cell>
          <cell r="X240">
            <v>0.48533945536286194</v>
          </cell>
          <cell r="AA240" t="str">
            <v>Taranaki DHB</v>
          </cell>
          <cell r="AD240">
            <v>3.588091535214397E-3</v>
          </cell>
          <cell r="AF240">
            <v>0.52836785567807976</v>
          </cell>
          <cell r="AG240">
            <v>0.51714760405736271</v>
          </cell>
          <cell r="AH240">
            <v>2.3801874616030616E-2</v>
          </cell>
          <cell r="AJ240">
            <v>0.47163214432192024</v>
          </cell>
          <cell r="AK240">
            <v>0.48285239594263729</v>
          </cell>
          <cell r="AN240" t="str">
            <v>Taranaki DHB</v>
          </cell>
          <cell r="AQ240">
            <v>1.410423558060102E-2</v>
          </cell>
          <cell r="AS240">
            <v>0.5301479078060829</v>
          </cell>
          <cell r="AT240">
            <v>0.53139690568283249</v>
          </cell>
          <cell r="AU240">
            <v>1.5474307470500133E-2</v>
          </cell>
          <cell r="AW240">
            <v>0.46985209219391705</v>
          </cell>
          <cell r="AX240">
            <v>0.46860309431716751</v>
          </cell>
          <cell r="AY240">
            <v>2.0579691741138748E-2</v>
          </cell>
        </row>
        <row r="241">
          <cell r="A241" t="str">
            <v>Waikato DHB</v>
          </cell>
          <cell r="D241">
            <v>5.4204253503843947E-3</v>
          </cell>
          <cell r="F241">
            <v>0.6103034908612579</v>
          </cell>
          <cell r="G241">
            <v>0.61357162791289099</v>
          </cell>
          <cell r="H241">
            <v>3.7245953978667901E-3</v>
          </cell>
          <cell r="J241">
            <v>0.3896965091387421</v>
          </cell>
          <cell r="K241">
            <v>0.3864283720871089</v>
          </cell>
          <cell r="L241">
            <v>1.7633725438946295E-2</v>
          </cell>
          <cell r="N241" t="str">
            <v>Waikato DHB</v>
          </cell>
          <cell r="Q241">
            <v>-4.1066673855834936E-3</v>
          </cell>
          <cell r="S241">
            <v>0.62490951979948695</v>
          </cell>
          <cell r="T241">
            <v>0.61992998006739852</v>
          </cell>
          <cell r="U241">
            <v>7.9894787744533551E-3</v>
          </cell>
          <cell r="W241">
            <v>0.37509048020051311</v>
          </cell>
          <cell r="X241">
            <v>0.38007001993260148</v>
          </cell>
          <cell r="AA241" t="str">
            <v>Waikato DHB</v>
          </cell>
          <cell r="AD241">
            <v>9.9091531275098785E-4</v>
          </cell>
          <cell r="AF241">
            <v>0.62782881789337874</v>
          </cell>
          <cell r="AG241">
            <v>0.62176325874730087</v>
          </cell>
          <cell r="AH241">
            <v>1.6422524958659049E-2</v>
          </cell>
          <cell r="AJ241">
            <v>0.37217118210662131</v>
          </cell>
          <cell r="AK241">
            <v>0.37823674125269913</v>
          </cell>
          <cell r="AN241" t="str">
            <v>Waikato DHB</v>
          </cell>
          <cell r="AQ241">
            <v>1.4254682200350234E-2</v>
          </cell>
          <cell r="AS241">
            <v>0.63116939240196335</v>
          </cell>
          <cell r="AT241">
            <v>0.62478716203838502</v>
          </cell>
          <cell r="AU241">
            <v>8.442205974262729E-3</v>
          </cell>
          <cell r="AW241">
            <v>0.3688306075980366</v>
          </cell>
          <cell r="AX241">
            <v>0.37521283796161492</v>
          </cell>
          <cell r="AY241">
            <v>-1.8734691117558145E-2</v>
          </cell>
        </row>
        <row r="242">
          <cell r="A242" t="str">
            <v>Midland Region Total</v>
          </cell>
          <cell r="D242">
            <v>9.2914411336011016E-3</v>
          </cell>
          <cell r="F242">
            <v>0.55516508382123098</v>
          </cell>
          <cell r="G242">
            <v>0.5531856459183</v>
          </cell>
          <cell r="H242">
            <v>1.4606457705049904E-2</v>
          </cell>
          <cell r="J242">
            <v>0.44483491617876891</v>
          </cell>
          <cell r="K242">
            <v>0.44681435408169989</v>
          </cell>
          <cell r="L242">
            <v>6.5100896332062914E-3</v>
          </cell>
          <cell r="N242" t="str">
            <v>Midland Region Total</v>
          </cell>
          <cell r="Q242">
            <v>3.54418566448307E-4</v>
          </cell>
          <cell r="S242">
            <v>0.55962134726827395</v>
          </cell>
          <cell r="T242">
            <v>0.556440118109361</v>
          </cell>
          <cell r="U242">
            <v>6.8566222173140588E-3</v>
          </cell>
          <cell r="W242">
            <v>0.44037865273172599</v>
          </cell>
          <cell r="X242">
            <v>0.44355988189063894</v>
          </cell>
          <cell r="AA242" t="str">
            <v>Midland Region Total</v>
          </cell>
          <cell r="AD242">
            <v>4.4706237020605789E-3</v>
          </cell>
          <cell r="AF242">
            <v>0.56084005407955828</v>
          </cell>
          <cell r="AG242">
            <v>0.55496590209295926</v>
          </cell>
          <cell r="AH242">
            <v>1.4087597033557272E-2</v>
          </cell>
          <cell r="AJ242">
            <v>0.43915994592044161</v>
          </cell>
          <cell r="AK242">
            <v>0.44503409790704074</v>
          </cell>
          <cell r="AN242" t="str">
            <v>Midland Region Total</v>
          </cell>
          <cell r="AQ242">
            <v>1.6582573616632856E-2</v>
          </cell>
          <cell r="AS242">
            <v>0.56184633567421383</v>
          </cell>
          <cell r="AT242">
            <v>0.56041288479524864</v>
          </cell>
          <cell r="AU242">
            <v>1.2681313968103817E-2</v>
          </cell>
          <cell r="AW242">
            <v>0.43815366432578601</v>
          </cell>
          <cell r="AX242">
            <v>0.4395871152047513</v>
          </cell>
          <cell r="AY242">
            <v>6.80380764976392E-3</v>
          </cell>
        </row>
        <row r="244">
          <cell r="A244" t="str">
            <v>Capital &amp; Coast DHB</v>
          </cell>
          <cell r="D244">
            <v>7.9638129488340814E-3</v>
          </cell>
          <cell r="F244">
            <v>0.63135411110007145</v>
          </cell>
          <cell r="G244">
            <v>0.6349726483341811</v>
          </cell>
          <cell r="H244">
            <v>6.9847091113597763E-6</v>
          </cell>
          <cell r="J244">
            <v>0.36864588889992844</v>
          </cell>
          <cell r="K244">
            <v>0.3650273516658189</v>
          </cell>
          <cell r="L244">
            <v>1.5708358726219479E-2</v>
          </cell>
          <cell r="N244" t="str">
            <v>Capital &amp; Coast DHB</v>
          </cell>
          <cell r="Q244">
            <v>4.310756553965297E-3</v>
          </cell>
          <cell r="S244">
            <v>0.62430743329217075</v>
          </cell>
          <cell r="T244">
            <v>0.62278914216431391</v>
          </cell>
          <cell r="U244">
            <v>3.2594146697474719E-3</v>
          </cell>
          <cell r="W244">
            <v>0.37569256670782919</v>
          </cell>
          <cell r="X244">
            <v>0.37721085783568609</v>
          </cell>
          <cell r="AA244" t="str">
            <v>Capital &amp; Coast DHB</v>
          </cell>
          <cell r="AD244">
            <v>5.3633654625480252E-3</v>
          </cell>
          <cell r="AF244">
            <v>0.63243475294482943</v>
          </cell>
          <cell r="AG244">
            <v>0.62675077604324103</v>
          </cell>
          <cell r="AH244">
            <v>5.3153642871105284E-3</v>
          </cell>
          <cell r="AJ244">
            <v>0.36756524705517057</v>
          </cell>
          <cell r="AK244">
            <v>0.37324922395675897</v>
          </cell>
          <cell r="AN244" t="str">
            <v>Capital &amp; Coast DHB</v>
          </cell>
          <cell r="AQ244">
            <v>9.9274668026361462E-3</v>
          </cell>
          <cell r="AS244">
            <v>0.62805407061518581</v>
          </cell>
          <cell r="AT244">
            <v>0.63255566492811466</v>
          </cell>
          <cell r="AU244">
            <v>3.657706142791926E-3</v>
          </cell>
          <cell r="AW244">
            <v>0.37194592938481419</v>
          </cell>
          <cell r="AX244">
            <v>0.36744433507188523</v>
          </cell>
          <cell r="AY244">
            <v>2.3235483531705885E-2</v>
          </cell>
        </row>
        <row r="245">
          <cell r="A245" t="str">
            <v>Hawke's Bay DHB</v>
          </cell>
          <cell r="D245">
            <v>1.2760470976161753E-2</v>
          </cell>
          <cell r="F245">
            <v>0.54822286684746835</v>
          </cell>
          <cell r="G245">
            <v>0.54236604321073101</v>
          </cell>
          <cell r="H245">
            <v>1.3129167188941006E-2</v>
          </cell>
          <cell r="J245">
            <v>0.45177713315253165</v>
          </cell>
          <cell r="K245">
            <v>0.45763395678926905</v>
          </cell>
          <cell r="L245">
            <v>-1.0521945467233515E-2</v>
          </cell>
          <cell r="N245" t="str">
            <v>Hawke's Bay DHB</v>
          </cell>
          <cell r="Q245">
            <v>3.2397591517405056E-3</v>
          </cell>
          <cell r="S245">
            <v>0.55717187585464145</v>
          </cell>
          <cell r="T245">
            <v>0.54361369427542394</v>
          </cell>
          <cell r="U245">
            <v>1.9138101085505503E-2</v>
          </cell>
          <cell r="W245">
            <v>0.4428281241453586</v>
          </cell>
          <cell r="X245">
            <v>0.456386305724576</v>
          </cell>
          <cell r="AA245" t="str">
            <v>Hawke's Bay DHB</v>
          </cell>
          <cell r="AD245">
            <v>1.5519780870817219E-3</v>
          </cell>
          <cell r="AF245">
            <v>0.54755898041073403</v>
          </cell>
          <cell r="AG245">
            <v>0.54322077726192841</v>
          </cell>
          <cell r="AH245">
            <v>6.4674310660532445E-3</v>
          </cell>
          <cell r="AJ245">
            <v>0.45244101958926597</v>
          </cell>
          <cell r="AK245">
            <v>0.45677922273807164</v>
          </cell>
          <cell r="AN245" t="str">
            <v>Hawke's Bay DHB</v>
          </cell>
          <cell r="AQ245">
            <v>2.2923541536433785E-2</v>
          </cell>
          <cell r="AS245">
            <v>0.56552757535488662</v>
          </cell>
          <cell r="AT245">
            <v>0.5702964613646756</v>
          </cell>
          <cell r="AU245">
            <v>8.0247581159169582E-3</v>
          </cell>
          <cell r="AW245">
            <v>0.43447242464511332</v>
          </cell>
          <cell r="AX245">
            <v>0.42970353863532434</v>
          </cell>
          <cell r="AY245">
            <v>2.7806540698856231E-2</v>
          </cell>
        </row>
        <row r="246">
          <cell r="A246" t="str">
            <v>Hutt Valley DHB</v>
          </cell>
          <cell r="D246">
            <v>3.3190083942818513E-2</v>
          </cell>
          <cell r="F246">
            <v>0.42996054825008162</v>
          </cell>
          <cell r="G246">
            <v>0.44153529855341989</v>
          </cell>
          <cell r="H246">
            <v>9.6769956135142679E-3</v>
          </cell>
          <cell r="J246">
            <v>0.57003945174991844</v>
          </cell>
          <cell r="K246">
            <v>0.55846470144658023</v>
          </cell>
          <cell r="L246">
            <v>5.8347938110485352E-2</v>
          </cell>
          <cell r="N246" t="str">
            <v>Hutt Valley DHB</v>
          </cell>
          <cell r="Q246">
            <v>-7.9877409990781831E-3</v>
          </cell>
          <cell r="S246">
            <v>0.42039271399691497</v>
          </cell>
          <cell r="T246">
            <v>0.42497827952218331</v>
          </cell>
          <cell r="U246">
            <v>-1.823030001382302E-2</v>
          </cell>
          <cell r="W246">
            <v>0.57960728600308509</v>
          </cell>
          <cell r="X246">
            <v>0.57502172047781674</v>
          </cell>
          <cell r="AA246" t="str">
            <v>Hutt Valley DHB</v>
          </cell>
          <cell r="AD246">
            <v>1.3874511019371467E-2</v>
          </cell>
          <cell r="AF246">
            <v>0.41839031123064774</v>
          </cell>
          <cell r="AG246">
            <v>0.42100346688242446</v>
          </cell>
          <cell r="AH246">
            <v>1.2956854285538703E-3</v>
          </cell>
          <cell r="AJ246">
            <v>0.58160968876935226</v>
          </cell>
          <cell r="AK246">
            <v>0.57899653311757548</v>
          </cell>
          <cell r="AN246" t="str">
            <v>Hutt Valley DHB</v>
          </cell>
          <cell r="AQ246">
            <v>7.150803889055834E-3</v>
          </cell>
          <cell r="AS246">
            <v>0.42686134609514403</v>
          </cell>
          <cell r="AT246">
            <v>0.42115298316901661</v>
          </cell>
          <cell r="AU246">
            <v>7.0286059825372584E-3</v>
          </cell>
          <cell r="AW246">
            <v>0.57313865390485597</v>
          </cell>
          <cell r="AX246">
            <v>0.57884701683098339</v>
          </cell>
          <cell r="AY246">
            <v>-1.6236377862760051E-2</v>
          </cell>
        </row>
        <row r="247">
          <cell r="A247" t="str">
            <v>MidCentral DHB</v>
          </cell>
          <cell r="D247">
            <v>1.796779132364059E-2</v>
          </cell>
          <cell r="F247">
            <v>0.53326774604602356</v>
          </cell>
          <cell r="G247">
            <v>0.5355012137487507</v>
          </cell>
          <cell r="H247">
            <v>1.3318288176521399E-2</v>
          </cell>
          <cell r="J247">
            <v>0.46673225395397644</v>
          </cell>
          <cell r="K247">
            <v>0.4644987862512493</v>
          </cell>
          <cell r="L247">
            <v>2.2455120547461585E-2</v>
          </cell>
          <cell r="N247" t="str">
            <v>MidCentral DHB</v>
          </cell>
          <cell r="Q247">
            <v>8.7536572374997262E-3</v>
          </cell>
          <cell r="S247">
            <v>0.53637300049581671</v>
          </cell>
          <cell r="T247">
            <v>0.53407034706917444</v>
          </cell>
          <cell r="U247">
            <v>3.6831649623927315E-3</v>
          </cell>
          <cell r="W247">
            <v>0.46362699950418335</v>
          </cell>
          <cell r="X247">
            <v>0.46592965293082556</v>
          </cell>
          <cell r="AA247" t="str">
            <v>MidCentral DHB</v>
          </cell>
          <cell r="AD247">
            <v>1.2323149163186143E-3</v>
          </cell>
          <cell r="AF247">
            <v>0.52101481415506146</v>
          </cell>
          <cell r="AG247">
            <v>0.5184534599298416</v>
          </cell>
          <cell r="AH247">
            <v>-2.9927372000167029E-3</v>
          </cell>
          <cell r="AJ247">
            <v>0.47898518584493838</v>
          </cell>
          <cell r="AK247">
            <v>0.48154654007015829</v>
          </cell>
          <cell r="AN247" t="str">
            <v>MidCentral DHB</v>
          </cell>
          <cell r="AQ247">
            <v>3.0394448629858066E-3</v>
          </cell>
          <cell r="AS247">
            <v>0.51755955206616744</v>
          </cell>
          <cell r="AT247">
            <v>0.51762056828040637</v>
          </cell>
          <cell r="AU247">
            <v>-6.7813560744599101E-3</v>
          </cell>
          <cell r="AW247">
            <v>0.48244044793383251</v>
          </cell>
          <cell r="AX247">
            <v>0.48237943171959363</v>
          </cell>
          <cell r="AY247">
            <v>-6.5386162622677055E-3</v>
          </cell>
        </row>
        <row r="248">
          <cell r="A248" t="str">
            <v>Wairarapa DHB</v>
          </cell>
          <cell r="D248">
            <v>5.5092659711648475E-3</v>
          </cell>
          <cell r="F248">
            <v>0.4188127440230503</v>
          </cell>
          <cell r="G248">
            <v>0.41939052258833698</v>
          </cell>
          <cell r="H248">
            <v>6.0979521916810758E-3</v>
          </cell>
          <cell r="J248">
            <v>0.58118725597694965</v>
          </cell>
          <cell r="K248">
            <v>0.58060947741166302</v>
          </cell>
          <cell r="L248">
            <v>8.488501368893623E-3</v>
          </cell>
          <cell r="N248" t="str">
            <v>Wairarapa DHB</v>
          </cell>
          <cell r="Q248">
            <v>-4.8747303505409113E-3</v>
          </cell>
          <cell r="S248">
            <v>0.42857405678425609</v>
          </cell>
          <cell r="T248">
            <v>0.43678924166617888</v>
          </cell>
          <cell r="U248">
            <v>-1.3318204582570665E-2</v>
          </cell>
          <cell r="W248">
            <v>0.57142594321574403</v>
          </cell>
          <cell r="X248">
            <v>0.56321075833382117</v>
          </cell>
          <cell r="AA248" t="str">
            <v>Wairarapa DHB</v>
          </cell>
          <cell r="AD248">
            <v>4.6242136132146269E-3</v>
          </cell>
          <cell r="AF248">
            <v>0.41378443088526595</v>
          </cell>
          <cell r="AG248">
            <v>0.4259254380671213</v>
          </cell>
          <cell r="AH248">
            <v>2.6335883628598642E-3</v>
          </cell>
          <cell r="AJ248">
            <v>0.58621556911473416</v>
          </cell>
          <cell r="AK248">
            <v>0.57407456193287865</v>
          </cell>
          <cell r="AN248" t="str">
            <v>Wairarapa DHB</v>
          </cell>
          <cell r="AQ248">
            <v>1.5801826030618318E-2</v>
          </cell>
          <cell r="AS248">
            <v>0.40874430094216274</v>
          </cell>
          <cell r="AT248">
            <v>0.40980596683120568</v>
          </cell>
          <cell r="AU248">
            <v>1.1137339320956679E-2</v>
          </cell>
          <cell r="AW248">
            <v>0.59125569905783726</v>
          </cell>
          <cell r="AX248">
            <v>0.59019403316879437</v>
          </cell>
          <cell r="AY248">
            <v>1.5587251983655022E-2</v>
          </cell>
        </row>
        <row r="249">
          <cell r="A249" t="str">
            <v>Whanganui DHB</v>
          </cell>
          <cell r="D249">
            <v>8.5714797788352115E-3</v>
          </cell>
          <cell r="F249">
            <v>0.5053956519454128</v>
          </cell>
          <cell r="G249">
            <v>0.50641628805190386</v>
          </cell>
          <cell r="H249">
            <v>2.1013422046840025E-2</v>
          </cell>
          <cell r="J249">
            <v>0.4946043480545872</v>
          </cell>
          <cell r="K249">
            <v>0.49358371194809619</v>
          </cell>
          <cell r="L249">
            <v>2.5190860483482964E-2</v>
          </cell>
          <cell r="N249" t="str">
            <v>Whanganui DHB</v>
          </cell>
          <cell r="Q249">
            <v>1.5726078717518677E-3</v>
          </cell>
          <cell r="S249">
            <v>0.49613614770642606</v>
          </cell>
          <cell r="T249">
            <v>0.50082551022630739</v>
          </cell>
          <cell r="U249">
            <v>-1.4351944471022119E-2</v>
          </cell>
          <cell r="W249">
            <v>0.503863852293574</v>
          </cell>
          <cell r="X249">
            <v>0.49917448977369255</v>
          </cell>
          <cell r="AA249" t="str">
            <v>Whanganui DHB</v>
          </cell>
          <cell r="AD249">
            <v>-9.4520299162938139E-4</v>
          </cell>
          <cell r="AF249">
            <v>0.49727531114255424</v>
          </cell>
          <cell r="AG249">
            <v>0.49889795109709589</v>
          </cell>
          <cell r="AH249">
            <v>-2.6888170032514E-3</v>
          </cell>
          <cell r="AJ249">
            <v>0.50272468885744581</v>
          </cell>
          <cell r="AK249">
            <v>0.50110204890290411</v>
          </cell>
          <cell r="AN249" t="str">
            <v>Whanganui DHB</v>
          </cell>
          <cell r="AQ249">
            <v>9.1311521805298203E-3</v>
          </cell>
          <cell r="AS249">
            <v>0.49221832123320675</v>
          </cell>
          <cell r="AT249">
            <v>0.49902723735408561</v>
          </cell>
          <cell r="AU249">
            <v>-4.4448728659254979E-3</v>
          </cell>
          <cell r="AW249">
            <v>0.50778167876679325</v>
          </cell>
          <cell r="AX249">
            <v>0.50097276264591439</v>
          </cell>
          <cell r="AY249">
            <v>2.3044916248799743E-2</v>
          </cell>
        </row>
        <row r="250">
          <cell r="A250" t="str">
            <v>Central Region Total</v>
          </cell>
          <cell r="D250">
            <v>1.4798234037813109E-2</v>
          </cell>
          <cell r="F250">
            <v>0.54366624582417589</v>
          </cell>
          <cell r="G250">
            <v>0.5469131896164624</v>
          </cell>
          <cell r="H250">
            <v>7.9265988245532833E-3</v>
          </cell>
          <cell r="J250">
            <v>0.45633375417582406</v>
          </cell>
          <cell r="K250">
            <v>0.45308681038353765</v>
          </cell>
          <cell r="L250">
            <v>2.1212465407320729E-2</v>
          </cell>
          <cell r="N250" t="str">
            <v>Central Region Total</v>
          </cell>
          <cell r="Q250">
            <v>2.1938820883738992E-3</v>
          </cell>
          <cell r="S250">
            <v>0.54108654956644719</v>
          </cell>
          <cell r="T250">
            <v>0.53915175590334619</v>
          </cell>
          <cell r="U250">
            <v>1.3159297380407836E-3</v>
          </cell>
          <cell r="W250">
            <v>0.45891345043355286</v>
          </cell>
          <cell r="X250">
            <v>0.4608482440966537</v>
          </cell>
          <cell r="AA250" t="str">
            <v>Central Region Total</v>
          </cell>
          <cell r="AD250">
            <v>4.7917485189911506E-3</v>
          </cell>
          <cell r="AF250">
            <v>0.53776008812269138</v>
          </cell>
          <cell r="AG250">
            <v>0.53622766017434909</v>
          </cell>
          <cell r="AH250">
            <v>2.7313836069056503E-3</v>
          </cell>
          <cell r="AJ250">
            <v>0.46223991187730851</v>
          </cell>
          <cell r="AK250">
            <v>0.46377233982565108</v>
          </cell>
          <cell r="AN250" t="str">
            <v>Central Region Total</v>
          </cell>
          <cell r="AQ250">
            <v>1.0605510606204091E-2</v>
          </cell>
          <cell r="AS250">
            <v>0.54025496668460693</v>
          </cell>
          <cell r="AT250">
            <v>0.54180735208916242</v>
          </cell>
          <cell r="AU250">
            <v>2.6991782660387427E-3</v>
          </cell>
          <cell r="AW250">
            <v>0.45974503331539285</v>
          </cell>
          <cell r="AX250">
            <v>0.45819264791083758</v>
          </cell>
          <cell r="AY250">
            <v>8.9873345280501084E-3</v>
          </cell>
        </row>
        <row r="252">
          <cell r="A252" t="str">
            <v>Canterbury DHB</v>
          </cell>
          <cell r="D252">
            <v>1.6104542523450168E-2</v>
          </cell>
          <cell r="F252">
            <v>0.58366080232533402</v>
          </cell>
          <cell r="G252">
            <v>0.58564043661040832</v>
          </cell>
          <cell r="H252">
            <v>7.4006061517653647E-3</v>
          </cell>
          <cell r="J252">
            <v>0.41633919767466593</v>
          </cell>
          <cell r="K252">
            <v>0.41435956338959162</v>
          </cell>
          <cell r="L252">
            <v>1.5646719116170032E-2</v>
          </cell>
          <cell r="N252" t="str">
            <v>Canterbury DHB</v>
          </cell>
          <cell r="Q252">
            <v>7.1120683892324926E-3</v>
          </cell>
          <cell r="S252">
            <v>0.57697728733140452</v>
          </cell>
          <cell r="T252">
            <v>0.58106851723586761</v>
          </cell>
          <cell r="U252">
            <v>5.4636979848387253E-3</v>
          </cell>
          <cell r="W252">
            <v>0.42302271266859554</v>
          </cell>
          <cell r="X252">
            <v>0.41893148276413233</v>
          </cell>
          <cell r="AA252" t="str">
            <v>Canterbury DHB</v>
          </cell>
          <cell r="AD252">
            <v>-2.4151807042357247E-3</v>
          </cell>
          <cell r="AF252">
            <v>0.57827828070168907</v>
          </cell>
          <cell r="AG252">
            <v>0.5752028155201202</v>
          </cell>
          <cell r="AH252">
            <v>5.2487773715538715E-3</v>
          </cell>
          <cell r="AJ252">
            <v>0.42172171929831098</v>
          </cell>
          <cell r="AK252">
            <v>0.42479718447987985</v>
          </cell>
          <cell r="AN252" t="str">
            <v>Canterbury DHB</v>
          </cell>
          <cell r="AQ252">
            <v>7.4242168199631442E-3</v>
          </cell>
          <cell r="AS252">
            <v>0.56347177432218454</v>
          </cell>
          <cell r="AT252">
            <v>0.56608627883029372</v>
          </cell>
          <cell r="AU252">
            <v>9.8845956077489149E-4</v>
          </cell>
          <cell r="AW252">
            <v>0.43652822567781546</v>
          </cell>
          <cell r="AX252">
            <v>0.43391372116970633</v>
          </cell>
          <cell r="AY252">
            <v>1.1692381072600786E-2</v>
          </cell>
        </row>
        <row r="253">
          <cell r="A253" t="str">
            <v>Nelson Marlborough DHB</v>
          </cell>
          <cell r="D253">
            <v>6.6312661665305977E-3</v>
          </cell>
          <cell r="F253">
            <v>0.53911649374968729</v>
          </cell>
          <cell r="G253">
            <v>0.5438202726275273</v>
          </cell>
          <cell r="H253">
            <v>6.5284089149537589E-3</v>
          </cell>
          <cell r="J253">
            <v>0.4608835062503126</v>
          </cell>
          <cell r="K253">
            <v>0.45617972737247264</v>
          </cell>
          <cell r="L253">
            <v>2.577945504247179E-2</v>
          </cell>
          <cell r="N253" t="str">
            <v>Nelson Marlborough DHB</v>
          </cell>
          <cell r="Q253">
            <v>-8.0254181738820588E-4</v>
          </cell>
          <cell r="S253">
            <v>0.53512001455275615</v>
          </cell>
          <cell r="T253">
            <v>0.53639520680917818</v>
          </cell>
          <cell r="U253">
            <v>-6.432714490636606E-3</v>
          </cell>
          <cell r="W253">
            <v>0.46487998544724379</v>
          </cell>
          <cell r="X253">
            <v>0.46360479319082182</v>
          </cell>
          <cell r="AA253" t="str">
            <v>Nelson Marlborough DHB</v>
          </cell>
          <cell r="AD253">
            <v>7.0547023743396794E-3</v>
          </cell>
          <cell r="AF253">
            <v>0.54809311654267956</v>
          </cell>
          <cell r="AG253">
            <v>0.54996765118783952</v>
          </cell>
          <cell r="AH253">
            <v>4.0963030208860619E-3</v>
          </cell>
          <cell r="AJ253">
            <v>0.4519068834573205</v>
          </cell>
          <cell r="AK253">
            <v>0.45003234881216042</v>
          </cell>
          <cell r="AN253" t="str">
            <v>Nelson Marlborough DHB</v>
          </cell>
          <cell r="AQ253">
            <v>9.6796037454414622E-3</v>
          </cell>
          <cell r="AS253">
            <v>0.54560790967332684</v>
          </cell>
          <cell r="AT253">
            <v>0.54660650957922441</v>
          </cell>
          <cell r="AU253">
            <v>1.4319760835073504E-2</v>
          </cell>
          <cell r="AW253">
            <v>0.45439209032667316</v>
          </cell>
          <cell r="AX253">
            <v>0.4533934904207757</v>
          </cell>
          <cell r="AY253">
            <v>1.8414351284369492E-2</v>
          </cell>
        </row>
        <row r="254">
          <cell r="A254" t="str">
            <v>South Canterbury DHB</v>
          </cell>
          <cell r="D254">
            <v>7.0406656219348584E-3</v>
          </cell>
          <cell r="F254">
            <v>0.49323595224843536</v>
          </cell>
          <cell r="G254">
            <v>0.4966464005840282</v>
          </cell>
          <cell r="H254">
            <v>-2.6527635824940572E-3</v>
          </cell>
          <cell r="J254">
            <v>0.50676404775156469</v>
          </cell>
          <cell r="K254">
            <v>0.5033535994159718</v>
          </cell>
          <cell r="L254">
            <v>1.1047532717693048E-2</v>
          </cell>
          <cell r="N254" t="str">
            <v>South Canterbury DHB</v>
          </cell>
          <cell r="Q254">
            <v>8.4387030354140767E-3</v>
          </cell>
          <cell r="S254">
            <v>0.47969428214841897</v>
          </cell>
          <cell r="T254">
            <v>0.49378276650087377</v>
          </cell>
          <cell r="U254">
            <v>-1.4678191429025159E-2</v>
          </cell>
          <cell r="W254">
            <v>0.52030571785158108</v>
          </cell>
          <cell r="X254">
            <v>0.50621723349912617</v>
          </cell>
          <cell r="AA254" t="str">
            <v>South Canterbury DHB</v>
          </cell>
          <cell r="AD254">
            <v>6.9819337238896063E-3</v>
          </cell>
          <cell r="AF254">
            <v>0.47290530173883394</v>
          </cell>
          <cell r="AG254">
            <v>0.4671370711226091</v>
          </cell>
          <cell r="AH254">
            <v>7.4106018134979627E-3</v>
          </cell>
          <cell r="AJ254">
            <v>0.52709469826116606</v>
          </cell>
          <cell r="AK254">
            <v>0.53286292887739095</v>
          </cell>
          <cell r="AN254" t="str">
            <v>South Canterbury DHB</v>
          </cell>
          <cell r="AQ254">
            <v>1.7743739198210717E-2</v>
          </cell>
          <cell r="AS254">
            <v>0.46903148500123959</v>
          </cell>
          <cell r="AT254">
            <v>0.469259689087485</v>
          </cell>
          <cell r="AU254">
            <v>8.6337114592897543E-3</v>
          </cell>
          <cell r="AW254">
            <v>0.53096851499876041</v>
          </cell>
          <cell r="AX254">
            <v>0.53074031091251506</v>
          </cell>
          <cell r="AY254">
            <v>9.5583517735325311E-3</v>
          </cell>
        </row>
        <row r="255">
          <cell r="A255" t="str">
            <v>Southern DHB</v>
          </cell>
          <cell r="D255">
            <v>5.4403146540149003E-3</v>
          </cell>
          <cell r="F255">
            <v>0.56044545509801169</v>
          </cell>
          <cell r="G255">
            <v>0.55846248877662485</v>
          </cell>
          <cell r="H255">
            <v>2.4748854524008178E-3</v>
          </cell>
          <cell r="J255">
            <v>0.43955454490198842</v>
          </cell>
          <cell r="K255">
            <v>0.44153751122337526</v>
          </cell>
          <cell r="L255">
            <v>-5.5583016531511641E-3</v>
          </cell>
          <cell r="N255" t="str">
            <v>Southern DHB</v>
          </cell>
          <cell r="Q255">
            <v>2.0101429615207722E-3</v>
          </cell>
          <cell r="S255">
            <v>0.55896948710446914</v>
          </cell>
          <cell r="T255">
            <v>0.55388235710225797</v>
          </cell>
          <cell r="U255">
            <v>6.5104691932851818E-3</v>
          </cell>
          <cell r="W255">
            <v>0.44103051289553086</v>
          </cell>
          <cell r="X255">
            <v>0.44611764289774208</v>
          </cell>
          <cell r="AA255" t="str">
            <v>Southern DHB</v>
          </cell>
          <cell r="AD255">
            <v>2.0581307252337819E-3</v>
          </cell>
          <cell r="AF255">
            <v>0.55322631244859155</v>
          </cell>
          <cell r="AG255">
            <v>0.5536417870845568</v>
          </cell>
          <cell r="AH255">
            <v>3.2776698150549367E-3</v>
          </cell>
          <cell r="AJ255">
            <v>0.44677368755140845</v>
          </cell>
          <cell r="AK255">
            <v>0.44635821291544325</v>
          </cell>
          <cell r="AN255" t="str">
            <v>Southern DHB</v>
          </cell>
          <cell r="AQ255">
            <v>1.2336959618939774E-2</v>
          </cell>
          <cell r="AS255">
            <v>0.55052584970980412</v>
          </cell>
          <cell r="AT255">
            <v>0.54849473057022935</v>
          </cell>
          <cell r="AU255">
            <v>1.684361335250037E-2</v>
          </cell>
          <cell r="AW255">
            <v>0.44947415029019588</v>
          </cell>
          <cell r="AX255">
            <v>0.45150526942977076</v>
          </cell>
          <cell r="AY255">
            <v>8.5346082685443837E-3</v>
          </cell>
        </row>
        <row r="256">
          <cell r="A256" t="str">
            <v>West Coast DHB</v>
          </cell>
          <cell r="D256">
            <v>3.6724457867807481E-3</v>
          </cell>
          <cell r="F256">
            <v>0.57672889231907132</v>
          </cell>
          <cell r="G256">
            <v>0.56400477132184446</v>
          </cell>
          <cell r="H256">
            <v>-1.8505635174620844E-3</v>
          </cell>
          <cell r="J256">
            <v>0.42327110768092874</v>
          </cell>
          <cell r="K256">
            <v>0.43599522867815549</v>
          </cell>
          <cell r="L256">
            <v>-5.2359696173368372E-2</v>
          </cell>
          <cell r="N256" t="str">
            <v>West Coast DHB</v>
          </cell>
          <cell r="Q256">
            <v>-2.1013099835986652E-3</v>
          </cell>
          <cell r="S256">
            <v>0.57810553679298393</v>
          </cell>
          <cell r="T256">
            <v>0.56263647139559547</v>
          </cell>
          <cell r="U256">
            <v>8.3746936852025569E-3</v>
          </cell>
          <cell r="W256">
            <v>0.42189446320701596</v>
          </cell>
          <cell r="X256">
            <v>0.43736352860440453</v>
          </cell>
          <cell r="AA256" t="str">
            <v>West Coast DHB</v>
          </cell>
          <cell r="AD256">
            <v>1.8278330599599596E-3</v>
          </cell>
          <cell r="AF256">
            <v>0.5654993057787967</v>
          </cell>
          <cell r="AG256">
            <v>0.55835314737380448</v>
          </cell>
          <cell r="AH256">
            <v>2.4745814106950242E-2</v>
          </cell>
          <cell r="AJ256">
            <v>0.4345006942212033</v>
          </cell>
          <cell r="AK256">
            <v>0.44164685262619557</v>
          </cell>
          <cell r="AN256" t="str">
            <v>West Coast DHB</v>
          </cell>
          <cell r="AQ256">
            <v>8.0081505408653442E-3</v>
          </cell>
          <cell r="AS256">
            <v>0.54660228162260849</v>
          </cell>
          <cell r="AT256">
            <v>0.55353714928746367</v>
          </cell>
          <cell r="AU256">
            <v>-7.4251913352467412E-3</v>
          </cell>
          <cell r="AW256">
            <v>0.45339771837739162</v>
          </cell>
          <cell r="AX256">
            <v>0.44646285071253627</v>
          </cell>
          <cell r="AY256">
            <v>2.0781013703852713E-2</v>
          </cell>
        </row>
        <row r="257">
          <cell r="A257" t="str">
            <v>Southern Region Total</v>
          </cell>
          <cell r="D257">
            <v>1.0751674565869574E-2</v>
          </cell>
          <cell r="F257">
            <v>0.56536458683491297</v>
          </cell>
          <cell r="G257">
            <v>0.56603502168211184</v>
          </cell>
          <cell r="H257">
            <v>4.9931345115486513E-3</v>
          </cell>
          <cell r="J257">
            <v>0.43463541316508697</v>
          </cell>
          <cell r="K257">
            <v>0.43396497831788822</v>
          </cell>
          <cell r="L257">
            <v>7.7393612419945738E-3</v>
          </cell>
          <cell r="N257" t="str">
            <v>Southern Region Total</v>
          </cell>
          <cell r="Q257">
            <v>4.2685307057803096E-3</v>
          </cell>
          <cell r="S257">
            <v>0.56066809671322704</v>
          </cell>
          <cell r="T257">
            <v>0.56148977923088894</v>
          </cell>
          <cell r="U257">
            <v>3.3208008850651393E-3</v>
          </cell>
          <cell r="W257">
            <v>0.43933190328677302</v>
          </cell>
          <cell r="X257">
            <v>0.43851022076911084</v>
          </cell>
          <cell r="AA257" t="str">
            <v>Southern Region Total</v>
          </cell>
          <cell r="AD257">
            <v>8.6339298688574277E-4</v>
          </cell>
          <cell r="AF257">
            <v>0.56061767629132508</v>
          </cell>
          <cell r="AG257">
            <v>0.55887960031540962</v>
          </cell>
          <cell r="AH257">
            <v>5.423255668536498E-3</v>
          </cell>
          <cell r="AJ257">
            <v>0.43938232370867492</v>
          </cell>
          <cell r="AK257">
            <v>0.44112039968459038</v>
          </cell>
          <cell r="AN257" t="str">
            <v>Southern Region Total</v>
          </cell>
          <cell r="AQ257">
            <v>9.7315794164945738E-3</v>
          </cell>
          <cell r="AS257">
            <v>0.55154062037257001</v>
          </cell>
          <cell r="AT257">
            <v>0.55272046635412886</v>
          </cell>
          <cell r="AU257">
            <v>7.1306269245254303E-3</v>
          </cell>
          <cell r="AW257">
            <v>0.44845937962743004</v>
          </cell>
          <cell r="AX257">
            <v>0.44727953364587103</v>
          </cell>
          <cell r="AY257">
            <v>1.1947382304143307E-2</v>
          </cell>
        </row>
        <row r="259">
          <cell r="A259" t="str">
            <v>All DHBs</v>
          </cell>
          <cell r="D259">
            <v>4.0416771944161356E-3</v>
          </cell>
          <cell r="F259">
            <v>0.5655932351114118</v>
          </cell>
          <cell r="G259">
            <v>0.55952870201747706</v>
          </cell>
          <cell r="H259">
            <v>1.1021596246035473E-2</v>
          </cell>
          <cell r="J259">
            <v>0.43447260991929854</v>
          </cell>
          <cell r="K259">
            <v>0.44047126381640167</v>
          </cell>
          <cell r="L259">
            <v>-1.3440193427806961E-2</v>
          </cell>
          <cell r="N259" t="str">
            <v>All DHBs</v>
          </cell>
          <cell r="Q259">
            <v>-2.6239603596643498E-3</v>
          </cell>
          <cell r="S259">
            <v>0.5653760223106008</v>
          </cell>
          <cell r="T259">
            <v>0.55861314906742876</v>
          </cell>
          <cell r="U259">
            <v>5.0782983041382677E-3</v>
          </cell>
          <cell r="W259">
            <v>0.43461656084084921</v>
          </cell>
          <cell r="X259">
            <v>0.44138143409262048</v>
          </cell>
          <cell r="AA259" t="str">
            <v>All DHBs</v>
          </cell>
          <cell r="AD259">
            <v>4.8835680141976348E-3</v>
          </cell>
          <cell r="AF259">
            <v>0.56499008514835358</v>
          </cell>
          <cell r="AG259">
            <v>0.56230994931931821</v>
          </cell>
          <cell r="AH259">
            <v>5.8390754652089894E-3</v>
          </cell>
          <cell r="AJ259">
            <v>0.43501323184266538</v>
          </cell>
          <cell r="AK259">
            <v>0.43768967534619541</v>
          </cell>
          <cell r="AN259" t="str">
            <v>All DHBs</v>
          </cell>
          <cell r="AQ259">
            <v>1.2590362300872123E-2</v>
          </cell>
          <cell r="AS259">
            <v>0.56293382900406941</v>
          </cell>
          <cell r="AT259">
            <v>0.56371578524206745</v>
          </cell>
          <cell r="AU259">
            <v>6.8553601884696431E-3</v>
          </cell>
          <cell r="AW259">
            <v>0.43701321604907528</v>
          </cell>
          <cell r="AX259">
            <v>0.43628424398720683</v>
          </cell>
          <cell r="AY259">
            <v>9.9386121027058051E-3</v>
          </cell>
        </row>
      </sheetData>
      <sheetData sheetId="2">
        <row r="8">
          <cell r="C8" t="str">
            <v>South Canterbury DHB</v>
          </cell>
          <cell r="D8" t="str">
            <v>Tairawhiti DHB</v>
          </cell>
          <cell r="E8" t="str">
            <v>Wairarapa DHB</v>
          </cell>
          <cell r="F8" t="str">
            <v>West Coast DHB</v>
          </cell>
          <cell r="G8" t="str">
            <v>Whanganui DHB</v>
          </cell>
          <cell r="H8" t="str">
            <v>Bay of Plenty DHB</v>
          </cell>
          <cell r="I8" t="str">
            <v>Hawke's Bay DHB</v>
          </cell>
          <cell r="J8" t="str">
            <v>Hutt Valley DHB</v>
          </cell>
          <cell r="K8" t="str">
            <v>Lakes DHB</v>
          </cell>
          <cell r="L8" t="str">
            <v>MidCentral DHB</v>
          </cell>
          <cell r="M8" t="str">
            <v>Nelson Marlborough DHB</v>
          </cell>
          <cell r="N8" t="str">
            <v>Northland DHB</v>
          </cell>
          <cell r="O8" t="str">
            <v>Southland DHB</v>
          </cell>
          <cell r="P8" t="str">
            <v>Taranaki DHB</v>
          </cell>
          <cell r="Q8" t="str">
            <v>Auckland DHB</v>
          </cell>
          <cell r="R8" t="str">
            <v>Canterbury DHB</v>
          </cell>
          <cell r="S8" t="str">
            <v>Capital &amp; Coast DHB</v>
          </cell>
          <cell r="T8" t="str">
            <v>Counties Manukau DHB</v>
          </cell>
          <cell r="U8" t="str">
            <v>Otago DHB</v>
          </cell>
          <cell r="V8" t="str">
            <v>Waikato DHB</v>
          </cell>
          <cell r="W8" t="str">
            <v>Waitemata DHB</v>
          </cell>
          <cell r="Y8" t="str">
            <v>All DHBs</v>
          </cell>
        </row>
        <row r="10">
          <cell r="C10">
            <v>70904</v>
          </cell>
          <cell r="D10">
            <v>65105.714999999997</v>
          </cell>
          <cell r="E10">
            <v>49955</v>
          </cell>
          <cell r="F10">
            <v>63139</v>
          </cell>
          <cell r="G10">
            <v>92682</v>
          </cell>
          <cell r="H10">
            <v>260124</v>
          </cell>
          <cell r="I10">
            <v>206574.82589999997</v>
          </cell>
          <cell r="J10">
            <v>166843</v>
          </cell>
          <cell r="K10">
            <v>123625</v>
          </cell>
          <cell r="L10">
            <v>259673</v>
          </cell>
          <cell r="M10">
            <v>199224</v>
          </cell>
          <cell r="N10">
            <v>205556.49980000002</v>
          </cell>
          <cell r="O10">
            <v>115297.488</v>
          </cell>
          <cell r="P10">
            <v>150419</v>
          </cell>
          <cell r="Q10">
            <v>1011392.5914999999</v>
          </cell>
          <cell r="R10">
            <v>697121</v>
          </cell>
          <cell r="S10">
            <v>434723.65459999995</v>
          </cell>
          <cell r="T10">
            <v>563782</v>
          </cell>
          <cell r="U10">
            <v>269558.8</v>
          </cell>
          <cell r="V10">
            <v>546913</v>
          </cell>
          <cell r="W10">
            <v>549900</v>
          </cell>
          <cell r="Y10">
            <v>6102513.5747999996</v>
          </cell>
        </row>
        <row r="13">
          <cell r="C13">
            <v>-10105</v>
          </cell>
          <cell r="D13">
            <v>-10683.059000000001</v>
          </cell>
          <cell r="E13">
            <v>-6420</v>
          </cell>
          <cell r="F13">
            <v>-9051</v>
          </cell>
          <cell r="G13">
            <v>-14931</v>
          </cell>
          <cell r="H13">
            <v>-41576</v>
          </cell>
          <cell r="I13">
            <v>-33942.3292</v>
          </cell>
          <cell r="J13">
            <v>-31164</v>
          </cell>
          <cell r="K13">
            <v>-21476</v>
          </cell>
          <cell r="L13">
            <v>-39233</v>
          </cell>
          <cell r="M13">
            <v>-26825</v>
          </cell>
          <cell r="N13">
            <v>-34150.010799999996</v>
          </cell>
          <cell r="O13">
            <v>-21412.288</v>
          </cell>
          <cell r="P13">
            <v>-19483</v>
          </cell>
          <cell r="Q13">
            <v>-199745.198</v>
          </cell>
          <cell r="R13">
            <v>-117101</v>
          </cell>
          <cell r="S13">
            <v>-84844.672900000005</v>
          </cell>
          <cell r="T13">
            <v>-105198</v>
          </cell>
          <cell r="U13">
            <v>-55034.8</v>
          </cell>
          <cell r="V13">
            <v>-101662.319</v>
          </cell>
          <cell r="W13">
            <v>-100800</v>
          </cell>
          <cell r="Y13">
            <v>-1084837.6769000001</v>
          </cell>
        </row>
        <row r="14">
          <cell r="C14">
            <v>-19846</v>
          </cell>
          <cell r="D14">
            <v>-15831.555999999999</v>
          </cell>
          <cell r="E14">
            <v>-13056</v>
          </cell>
          <cell r="F14">
            <v>-19124</v>
          </cell>
          <cell r="G14">
            <v>-25813</v>
          </cell>
          <cell r="H14">
            <v>-64960</v>
          </cell>
          <cell r="I14">
            <v>-54804.071500000005</v>
          </cell>
          <cell r="J14">
            <v>-46741</v>
          </cell>
          <cell r="K14">
            <v>-29401</v>
          </cell>
          <cell r="L14">
            <v>-59993</v>
          </cell>
          <cell r="M14">
            <v>-42987</v>
          </cell>
          <cell r="N14">
            <v>-52327.383799999996</v>
          </cell>
          <cell r="O14">
            <v>-31837.715</v>
          </cell>
          <cell r="P14">
            <v>-35705</v>
          </cell>
          <cell r="Q14">
            <v>-199847.78900000002</v>
          </cell>
          <cell r="R14">
            <v>-192613</v>
          </cell>
          <cell r="S14">
            <v>-117505.68480000002</v>
          </cell>
          <cell r="T14">
            <v>-140720</v>
          </cell>
          <cell r="U14">
            <v>-67899.98</v>
          </cell>
          <cell r="V14">
            <v>-129530.177</v>
          </cell>
          <cell r="W14">
            <v>-146306</v>
          </cell>
          <cell r="Y14">
            <v>-1506849.3570999999</v>
          </cell>
        </row>
        <row r="15">
          <cell r="C15">
            <v>-5584</v>
          </cell>
          <cell r="D15">
            <v>-7318.0765000000001</v>
          </cell>
          <cell r="E15">
            <v>-5205</v>
          </cell>
          <cell r="F15">
            <v>-9300</v>
          </cell>
          <cell r="G15">
            <v>-8230</v>
          </cell>
          <cell r="H15">
            <v>-22769</v>
          </cell>
          <cell r="I15">
            <v>-21846.909800000001</v>
          </cell>
          <cell r="J15">
            <v>-21150</v>
          </cell>
          <cell r="K15">
            <v>-11459</v>
          </cell>
          <cell r="L15">
            <v>-20001</v>
          </cell>
          <cell r="M15">
            <v>-29954</v>
          </cell>
          <cell r="N15">
            <v>-21501.5288</v>
          </cell>
          <cell r="O15">
            <v>-9914.777</v>
          </cell>
          <cell r="P15">
            <v>-14636</v>
          </cell>
          <cell r="Q15">
            <v>-105221.26699999999</v>
          </cell>
          <cell r="R15">
            <v>-72279</v>
          </cell>
          <cell r="S15">
            <v>-35043.378499999999</v>
          </cell>
          <cell r="T15">
            <v>-45674</v>
          </cell>
          <cell r="U15">
            <v>-27850.400000000001</v>
          </cell>
          <cell r="V15">
            <v>-46400.680999999997</v>
          </cell>
          <cell r="W15">
            <v>-68206</v>
          </cell>
          <cell r="Y15">
            <v>-609544.01859999995</v>
          </cell>
        </row>
        <row r="16">
          <cell r="C16">
            <v>-2177</v>
          </cell>
          <cell r="D16">
            <v>-691.40099999999995</v>
          </cell>
          <cell r="E16">
            <v>-521</v>
          </cell>
          <cell r="F16">
            <v>-1688</v>
          </cell>
          <cell r="G16">
            <v>-753</v>
          </cell>
          <cell r="H16">
            <v>-5362</v>
          </cell>
          <cell r="I16">
            <v>-5467.4735000000001</v>
          </cell>
          <cell r="J16">
            <v>-3809</v>
          </cell>
          <cell r="K16">
            <v>-1258</v>
          </cell>
          <cell r="L16">
            <v>-1178</v>
          </cell>
          <cell r="M16">
            <v>-4253.68</v>
          </cell>
          <cell r="N16">
            <v>-3360.6997999999999</v>
          </cell>
          <cell r="O16">
            <v>-603.16099999999994</v>
          </cell>
          <cell r="P16">
            <v>-3617</v>
          </cell>
          <cell r="Q16">
            <v>-7753.7689999999984</v>
          </cell>
          <cell r="R16">
            <v>-14465</v>
          </cell>
          <cell r="S16">
            <v>-6890.9589999999998</v>
          </cell>
          <cell r="T16">
            <v>-6949</v>
          </cell>
          <cell r="U16">
            <v>-5546</v>
          </cell>
          <cell r="V16">
            <v>-11987.5</v>
          </cell>
          <cell r="W16">
            <v>-5225</v>
          </cell>
          <cell r="Y16">
            <v>-93556.643299999996</v>
          </cell>
        </row>
        <row r="17">
          <cell r="C17">
            <v>-6354</v>
          </cell>
          <cell r="D17">
            <v>-5364.009</v>
          </cell>
          <cell r="E17">
            <v>-4812</v>
          </cell>
          <cell r="F17">
            <v>-5966</v>
          </cell>
          <cell r="G17">
            <v>-7806</v>
          </cell>
          <cell r="H17">
            <v>-22618</v>
          </cell>
          <cell r="I17">
            <v>-21703.004100000002</v>
          </cell>
          <cell r="J17">
            <v>-17402</v>
          </cell>
          <cell r="K17">
            <v>-11275</v>
          </cell>
          <cell r="L17">
            <v>-18773</v>
          </cell>
          <cell r="M17">
            <v>-18279.330000000002</v>
          </cell>
          <cell r="N17">
            <v>-22058.2192</v>
          </cell>
          <cell r="O17">
            <v>-10383.778</v>
          </cell>
          <cell r="P17">
            <v>-12109</v>
          </cell>
          <cell r="Q17">
            <v>-97721.928</v>
          </cell>
          <cell r="R17">
            <v>-56568</v>
          </cell>
          <cell r="S17">
            <v>-40896.425400000007</v>
          </cell>
          <cell r="T17">
            <v>-40569</v>
          </cell>
          <cell r="U17">
            <v>-22854</v>
          </cell>
          <cell r="V17">
            <v>-50179.4</v>
          </cell>
          <cell r="W17">
            <v>-45975</v>
          </cell>
          <cell r="Y17">
            <v>-539667.09370000008</v>
          </cell>
        </row>
        <row r="18">
          <cell r="A18" t="str">
            <v>Total Personnel Expenses</v>
          </cell>
          <cell r="C18">
            <v>-44066</v>
          </cell>
          <cell r="D18">
            <v>-39888.101499999997</v>
          </cell>
          <cell r="E18">
            <v>-30014</v>
          </cell>
          <cell r="F18">
            <v>-45129</v>
          </cell>
          <cell r="G18">
            <v>-57533</v>
          </cell>
          <cell r="H18">
            <v>-157285</v>
          </cell>
          <cell r="I18">
            <v>-137763.78809999998</v>
          </cell>
          <cell r="J18">
            <v>-120266</v>
          </cell>
          <cell r="K18">
            <v>-74869</v>
          </cell>
          <cell r="L18">
            <v>-139178</v>
          </cell>
          <cell r="M18">
            <v>-122299.01</v>
          </cell>
          <cell r="N18">
            <v>-133397.84239999999</v>
          </cell>
          <cell r="O18">
            <v>-74151.718999999997</v>
          </cell>
          <cell r="P18">
            <v>-85550</v>
          </cell>
          <cell r="Q18">
            <v>-610289.951</v>
          </cell>
          <cell r="R18">
            <v>-453026</v>
          </cell>
          <cell r="S18">
            <v>-285181.12060000002</v>
          </cell>
          <cell r="T18">
            <v>-339110</v>
          </cell>
          <cell r="U18">
            <v>-179185.18</v>
          </cell>
          <cell r="V18">
            <v>-339760.07699999999</v>
          </cell>
          <cell r="W18">
            <v>-366512</v>
          </cell>
          <cell r="Y18">
            <v>-3834454.7896000003</v>
          </cell>
        </row>
        <row r="20">
          <cell r="C20">
            <v>-2918</v>
          </cell>
          <cell r="D20">
            <v>-2401.7030000000004</v>
          </cell>
          <cell r="E20">
            <v>-2388.5</v>
          </cell>
          <cell r="F20">
            <v>-6471</v>
          </cell>
          <cell r="G20">
            <v>-4575</v>
          </cell>
          <cell r="H20">
            <v>-6573</v>
          </cell>
          <cell r="I20">
            <v>-4769.8531999999996</v>
          </cell>
          <cell r="J20">
            <v>-1554</v>
          </cell>
          <cell r="K20">
            <v>-4098</v>
          </cell>
          <cell r="L20">
            <v>-5931</v>
          </cell>
          <cell r="M20">
            <v>-3276</v>
          </cell>
          <cell r="N20">
            <v>-3840.4754000000003</v>
          </cell>
          <cell r="O20">
            <v>-7943.51</v>
          </cell>
          <cell r="P20">
            <v>-3471</v>
          </cell>
          <cell r="Q20">
            <v>-7515.6440000000002</v>
          </cell>
          <cell r="R20">
            <v>-10289</v>
          </cell>
          <cell r="S20">
            <v>-5953.9845999999998</v>
          </cell>
          <cell r="T20">
            <v>-3401</v>
          </cell>
          <cell r="U20">
            <v>-1771.89</v>
          </cell>
          <cell r="V20">
            <v>-3827</v>
          </cell>
          <cell r="W20">
            <v>-6779</v>
          </cell>
          <cell r="Y20">
            <v>-99748.560199999993</v>
          </cell>
        </row>
        <row r="21">
          <cell r="C21">
            <v>-48</v>
          </cell>
          <cell r="D21">
            <v>-45.734999999999999</v>
          </cell>
          <cell r="E21">
            <v>-205</v>
          </cell>
          <cell r="F21">
            <v>-169</v>
          </cell>
          <cell r="G21">
            <v>-21</v>
          </cell>
          <cell r="H21">
            <v>-721</v>
          </cell>
          <cell r="I21">
            <v>-88.533299999999997</v>
          </cell>
          <cell r="J21">
            <v>-340</v>
          </cell>
          <cell r="K21">
            <v>-1</v>
          </cell>
          <cell r="L21">
            <v>-486</v>
          </cell>
          <cell r="M21">
            <v>-735</v>
          </cell>
          <cell r="N21">
            <v>-25.598200000000002</v>
          </cell>
          <cell r="O21">
            <v>-1.65</v>
          </cell>
          <cell r="P21">
            <v>0</v>
          </cell>
          <cell r="Q21">
            <v>-3028.3990000000003</v>
          </cell>
          <cell r="R21">
            <v>-4189</v>
          </cell>
          <cell r="S21">
            <v>-2079.7691999999997</v>
          </cell>
          <cell r="T21">
            <v>-2211</v>
          </cell>
          <cell r="U21">
            <v>-29.18</v>
          </cell>
          <cell r="V21">
            <v>-493</v>
          </cell>
          <cell r="W21">
            <v>-4143</v>
          </cell>
          <cell r="Y21">
            <v>-19060.864700000002</v>
          </cell>
        </row>
        <row r="22">
          <cell r="C22">
            <v>-93</v>
          </cell>
          <cell r="D22">
            <v>-13.972999999999999</v>
          </cell>
          <cell r="E22">
            <v>-14</v>
          </cell>
          <cell r="F22">
            <v>-235</v>
          </cell>
          <cell r="G22">
            <v>-112</v>
          </cell>
          <cell r="H22">
            <v>-373</v>
          </cell>
          <cell r="I22">
            <v>-1315.4839999999999</v>
          </cell>
          <cell r="J22">
            <v>-155</v>
          </cell>
          <cell r="K22">
            <v>-377</v>
          </cell>
          <cell r="L22">
            <v>-4</v>
          </cell>
          <cell r="M22">
            <v>-39</v>
          </cell>
          <cell r="N22">
            <v>-381.12330000000003</v>
          </cell>
          <cell r="O22">
            <v>-144.86000000000001</v>
          </cell>
          <cell r="P22">
            <v>-116</v>
          </cell>
          <cell r="Q22">
            <v>0</v>
          </cell>
          <cell r="R22">
            <v>-1051</v>
          </cell>
          <cell r="S22">
            <v>-320.73460000000006</v>
          </cell>
          <cell r="T22">
            <v>-266</v>
          </cell>
          <cell r="U22">
            <v>-124.34</v>
          </cell>
          <cell r="V22">
            <v>-735</v>
          </cell>
          <cell r="W22">
            <v>-543</v>
          </cell>
          <cell r="Y22">
            <v>-6413.5149000000001</v>
          </cell>
        </row>
        <row r="23">
          <cell r="C23">
            <v>-150</v>
          </cell>
          <cell r="D23">
            <v>-2.7610000000000001</v>
          </cell>
          <cell r="E23">
            <v>-45</v>
          </cell>
          <cell r="F23">
            <v>-18</v>
          </cell>
          <cell r="G23">
            <v>-219</v>
          </cell>
          <cell r="H23">
            <v>-840</v>
          </cell>
          <cell r="I23">
            <v>-193.05279999999993</v>
          </cell>
          <cell r="J23">
            <v>-440</v>
          </cell>
          <cell r="K23">
            <v>-70</v>
          </cell>
          <cell r="L23">
            <v>-254</v>
          </cell>
          <cell r="M23">
            <v>-372</v>
          </cell>
          <cell r="N23">
            <v>-293.5711</v>
          </cell>
          <cell r="O23">
            <v>-34</v>
          </cell>
          <cell r="P23">
            <v>-165</v>
          </cell>
          <cell r="Q23">
            <v>-7699.8109999999997</v>
          </cell>
          <cell r="R23">
            <v>-1583</v>
          </cell>
          <cell r="S23">
            <v>-3366.4355</v>
          </cell>
          <cell r="T23">
            <v>-1851</v>
          </cell>
          <cell r="U23">
            <v>-199.8</v>
          </cell>
          <cell r="V23">
            <v>-3157</v>
          </cell>
          <cell r="W23">
            <v>-1789</v>
          </cell>
          <cell r="Y23">
            <v>-22742.431399999998</v>
          </cell>
        </row>
        <row r="24">
          <cell r="C24">
            <v>-5023</v>
          </cell>
          <cell r="D24">
            <v>-1659.7860000000001</v>
          </cell>
          <cell r="E24">
            <v>-2467</v>
          </cell>
          <cell r="F24">
            <v>-3103</v>
          </cell>
          <cell r="G24">
            <v>-4208</v>
          </cell>
          <cell r="H24">
            <v>-18370</v>
          </cell>
          <cell r="I24">
            <v>-6891.7649000000001</v>
          </cell>
          <cell r="J24">
            <v>-5114</v>
          </cell>
          <cell r="K24">
            <v>-4451</v>
          </cell>
          <cell r="L24">
            <v>-15757</v>
          </cell>
          <cell r="M24">
            <v>-7763</v>
          </cell>
          <cell r="N24">
            <v>-5535.2885999999999</v>
          </cell>
          <cell r="O24">
            <v>-484.35</v>
          </cell>
          <cell r="P24">
            <v>-18955</v>
          </cell>
          <cell r="Q24">
            <v>-21405.726000000002</v>
          </cell>
          <cell r="R24">
            <v>-4351</v>
          </cell>
          <cell r="S24">
            <v>-9722.9924999999985</v>
          </cell>
          <cell r="T24">
            <v>-23155</v>
          </cell>
          <cell r="U24">
            <v>-2941.6</v>
          </cell>
          <cell r="V24">
            <v>-20166</v>
          </cell>
          <cell r="W24">
            <v>-14933</v>
          </cell>
          <cell r="Y24">
            <v>-196457.508</v>
          </cell>
        </row>
        <row r="25">
          <cell r="C25">
            <v>-1</v>
          </cell>
          <cell r="D25">
            <v>-0.57600000000002183</v>
          </cell>
          <cell r="E25">
            <v>-15</v>
          </cell>
          <cell r="F25">
            <v>-129</v>
          </cell>
          <cell r="G25">
            <v>0</v>
          </cell>
          <cell r="H25">
            <v>-18</v>
          </cell>
          <cell r="I25">
            <v>-188.13200000000143</v>
          </cell>
          <cell r="J25">
            <v>-126</v>
          </cell>
          <cell r="K25">
            <v>-6</v>
          </cell>
          <cell r="L25">
            <v>0</v>
          </cell>
          <cell r="M25">
            <v>-45</v>
          </cell>
          <cell r="N25">
            <v>-1.0084999999999127</v>
          </cell>
          <cell r="O25">
            <v>-69.520000000000437</v>
          </cell>
          <cell r="P25">
            <v>-35</v>
          </cell>
          <cell r="Q25">
            <v>0</v>
          </cell>
          <cell r="R25">
            <v>0</v>
          </cell>
          <cell r="S25">
            <v>-52.416100000002189</v>
          </cell>
          <cell r="T25">
            <v>-16030</v>
          </cell>
          <cell r="U25">
            <v>-928.70000000000073</v>
          </cell>
          <cell r="V25">
            <v>-329</v>
          </cell>
          <cell r="W25">
            <v>-16202</v>
          </cell>
          <cell r="Y25">
            <v>-34176.352600000006</v>
          </cell>
        </row>
        <row r="26">
          <cell r="A26" t="str">
            <v>Total Outsourced Service Expenses</v>
          </cell>
          <cell r="C26">
            <v>-8233</v>
          </cell>
          <cell r="D26">
            <v>-4124.5340000000006</v>
          </cell>
          <cell r="E26">
            <v>-5134.5</v>
          </cell>
          <cell r="F26">
            <v>-10125</v>
          </cell>
          <cell r="G26">
            <v>-9135</v>
          </cell>
          <cell r="H26">
            <v>-26895</v>
          </cell>
          <cell r="I26">
            <v>-13446.8202</v>
          </cell>
          <cell r="J26">
            <v>-7729</v>
          </cell>
          <cell r="K26">
            <v>-9003</v>
          </cell>
          <cell r="L26">
            <v>-22432</v>
          </cell>
          <cell r="M26">
            <v>-12230</v>
          </cell>
          <cell r="N26">
            <v>-10077.0651</v>
          </cell>
          <cell r="O26">
            <v>-8677.89</v>
          </cell>
          <cell r="P26">
            <v>-22742</v>
          </cell>
          <cell r="Q26">
            <v>-39649.58</v>
          </cell>
          <cell r="R26">
            <v>-21463</v>
          </cell>
          <cell r="S26">
            <v>-21496.3325</v>
          </cell>
          <cell r="T26">
            <v>-46914</v>
          </cell>
          <cell r="U26">
            <v>-5995.51</v>
          </cell>
          <cell r="V26">
            <v>-28707</v>
          </cell>
          <cell r="W26">
            <v>-44308</v>
          </cell>
          <cell r="Y26">
            <v>-378518.23180000007</v>
          </cell>
        </row>
        <row r="28">
          <cell r="C28">
            <v>-52299</v>
          </cell>
          <cell r="D28">
            <v>-44012.635499999997</v>
          </cell>
          <cell r="E28">
            <v>-35148.5</v>
          </cell>
          <cell r="F28">
            <v>-55254</v>
          </cell>
          <cell r="G28">
            <v>-66668</v>
          </cell>
          <cell r="H28">
            <v>-184180</v>
          </cell>
          <cell r="I28">
            <v>-151210.60829999996</v>
          </cell>
          <cell r="J28">
            <v>-127995</v>
          </cell>
          <cell r="K28">
            <v>-83872</v>
          </cell>
          <cell r="L28">
            <v>-161610</v>
          </cell>
          <cell r="M28">
            <v>-134529.01</v>
          </cell>
          <cell r="N28">
            <v>-143474.9075</v>
          </cell>
          <cell r="O28">
            <v>-82829.608999999997</v>
          </cell>
          <cell r="P28">
            <v>-108292</v>
          </cell>
          <cell r="Q28">
            <v>-649939.53099999996</v>
          </cell>
          <cell r="R28">
            <v>-474489</v>
          </cell>
          <cell r="S28">
            <v>-306677.45310000004</v>
          </cell>
          <cell r="T28">
            <v>-386024</v>
          </cell>
          <cell r="U28">
            <v>-185180.69</v>
          </cell>
          <cell r="V28">
            <v>-368467.07699999999</v>
          </cell>
          <cell r="W28">
            <v>-410820</v>
          </cell>
          <cell r="Y28">
            <v>-4212973.0214</v>
          </cell>
        </row>
        <row r="30">
          <cell r="C30">
            <v>-143</v>
          </cell>
          <cell r="D30">
            <v>-3004.2250000000008</v>
          </cell>
          <cell r="E30">
            <v>-2117</v>
          </cell>
          <cell r="F30">
            <v>-1203</v>
          </cell>
          <cell r="G30">
            <v>-3411</v>
          </cell>
          <cell r="H30">
            <v>-12008</v>
          </cell>
          <cell r="I30">
            <v>-8752.0203000000001</v>
          </cell>
          <cell r="J30">
            <v>-7720</v>
          </cell>
          <cell r="K30">
            <v>-6058</v>
          </cell>
          <cell r="L30">
            <v>-12412</v>
          </cell>
          <cell r="M30">
            <v>-9414</v>
          </cell>
          <cell r="N30">
            <v>-11530.347600000001</v>
          </cell>
          <cell r="O30">
            <v>-6404.83</v>
          </cell>
          <cell r="P30">
            <v>-7182</v>
          </cell>
          <cell r="Q30">
            <v>-63203.79</v>
          </cell>
          <cell r="R30">
            <v>-39307</v>
          </cell>
          <cell r="S30">
            <v>-31132.548600000002</v>
          </cell>
          <cell r="T30">
            <v>-31107</v>
          </cell>
          <cell r="U30">
            <v>-16894.240000000002</v>
          </cell>
          <cell r="V30">
            <v>-38192</v>
          </cell>
          <cell r="W30">
            <v>-18405</v>
          </cell>
          <cell r="Y30">
            <v>-329601.00150000001</v>
          </cell>
        </row>
        <row r="31">
          <cell r="C31">
            <v>-2867</v>
          </cell>
          <cell r="D31">
            <v>-567.178</v>
          </cell>
          <cell r="E31">
            <v>-238</v>
          </cell>
          <cell r="F31">
            <v>-85</v>
          </cell>
          <cell r="G31">
            <v>-615</v>
          </cell>
          <cell r="H31">
            <v>-1435</v>
          </cell>
          <cell r="I31">
            <v>-2601.0021999999999</v>
          </cell>
          <cell r="J31">
            <v>-1690</v>
          </cell>
          <cell r="K31">
            <v>-1161</v>
          </cell>
          <cell r="L31">
            <v>-920</v>
          </cell>
          <cell r="M31">
            <v>-586</v>
          </cell>
          <cell r="N31">
            <v>-1769.4145000000001</v>
          </cell>
          <cell r="O31">
            <v>-281.33999999999997</v>
          </cell>
          <cell r="P31">
            <v>-1140</v>
          </cell>
          <cell r="Q31">
            <v>-34816.981999999996</v>
          </cell>
          <cell r="R31">
            <v>-11193</v>
          </cell>
          <cell r="S31">
            <v>-6363.6725000000006</v>
          </cell>
          <cell r="T31">
            <v>-4994</v>
          </cell>
          <cell r="U31">
            <v>-1578.37</v>
          </cell>
          <cell r="V31">
            <v>-7861</v>
          </cell>
          <cell r="W31">
            <v>-3490</v>
          </cell>
          <cell r="Y31">
            <v>-86252.959199999983</v>
          </cell>
        </row>
        <row r="32">
          <cell r="C32">
            <v>-1843</v>
          </cell>
          <cell r="D32">
            <v>-1997.0259999999998</v>
          </cell>
          <cell r="E32">
            <v>-2036</v>
          </cell>
          <cell r="F32">
            <v>-1402</v>
          </cell>
          <cell r="G32">
            <v>-2605</v>
          </cell>
          <cell r="H32">
            <v>-7784</v>
          </cell>
          <cell r="I32">
            <v>-3387.0102000000002</v>
          </cell>
          <cell r="J32">
            <v>-4550</v>
          </cell>
          <cell r="K32">
            <v>-4090</v>
          </cell>
          <cell r="L32">
            <v>-7532</v>
          </cell>
          <cell r="M32">
            <v>-4049</v>
          </cell>
          <cell r="N32">
            <v>-5628.5896000000002</v>
          </cell>
          <cell r="O32">
            <v>-3686.23</v>
          </cell>
          <cell r="P32">
            <v>-1952</v>
          </cell>
          <cell r="Q32">
            <v>-7424.5869999999995</v>
          </cell>
          <cell r="R32">
            <v>-6729</v>
          </cell>
          <cell r="S32">
            <v>-14494.6173</v>
          </cell>
          <cell r="T32">
            <v>-15257</v>
          </cell>
          <cell r="U32">
            <v>-9385.5400000000009</v>
          </cell>
          <cell r="V32">
            <v>-17539</v>
          </cell>
          <cell r="W32">
            <v>-11274</v>
          </cell>
          <cell r="Y32">
            <v>-134645.60010000001</v>
          </cell>
        </row>
        <row r="33">
          <cell r="C33">
            <v>-652</v>
          </cell>
          <cell r="D33">
            <v>-279.40600000000006</v>
          </cell>
          <cell r="E33">
            <v>-493</v>
          </cell>
          <cell r="F33">
            <v>-341</v>
          </cell>
          <cell r="G33">
            <v>-859</v>
          </cell>
          <cell r="H33">
            <v>-1251</v>
          </cell>
          <cell r="I33">
            <v>-1086.2537999999997</v>
          </cell>
          <cell r="J33">
            <v>-758</v>
          </cell>
          <cell r="K33">
            <v>-679</v>
          </cell>
          <cell r="L33">
            <v>-1905</v>
          </cell>
          <cell r="M33">
            <v>-1212</v>
          </cell>
          <cell r="N33">
            <v>-858.26400000000001</v>
          </cell>
          <cell r="O33">
            <v>-665.56</v>
          </cell>
          <cell r="P33">
            <v>-1066</v>
          </cell>
          <cell r="Q33">
            <v>-1810.8120000000001</v>
          </cell>
          <cell r="R33">
            <v>-2715</v>
          </cell>
          <cell r="S33">
            <v>-3880.2384999999995</v>
          </cell>
          <cell r="T33">
            <v>-2212</v>
          </cell>
          <cell r="U33">
            <v>-1533.18</v>
          </cell>
          <cell r="V33">
            <v>-2151</v>
          </cell>
          <cell r="W33">
            <v>-3194</v>
          </cell>
          <cell r="Y33">
            <v>-29601.7143</v>
          </cell>
        </row>
        <row r="34">
          <cell r="C34">
            <v>-1592</v>
          </cell>
          <cell r="D34">
            <v>-1169.3920000000001</v>
          </cell>
          <cell r="E34">
            <v>-1151</v>
          </cell>
          <cell r="F34">
            <v>-572</v>
          </cell>
          <cell r="G34">
            <v>-1391</v>
          </cell>
          <cell r="H34">
            <v>-4369</v>
          </cell>
          <cell r="I34">
            <v>-4259.5122000000001</v>
          </cell>
          <cell r="J34">
            <v>-2490</v>
          </cell>
          <cell r="K34">
            <v>-1511</v>
          </cell>
          <cell r="L34">
            <v>-2561</v>
          </cell>
          <cell r="M34">
            <v>-4088</v>
          </cell>
          <cell r="N34">
            <v>-3351.1547999999998</v>
          </cell>
          <cell r="O34">
            <v>-2292.21</v>
          </cell>
          <cell r="P34">
            <v>-2571</v>
          </cell>
          <cell r="Q34">
            <v>-20533.094000000001</v>
          </cell>
          <cell r="R34">
            <v>-12139</v>
          </cell>
          <cell r="S34">
            <v>-9852.058500000001</v>
          </cell>
          <cell r="T34">
            <v>-11888</v>
          </cell>
          <cell r="U34">
            <v>-5954.62</v>
          </cell>
          <cell r="V34">
            <v>-12772</v>
          </cell>
          <cell r="W34">
            <v>-6483</v>
          </cell>
          <cell r="Y34">
            <v>-112990.04149999999</v>
          </cell>
        </row>
        <row r="35">
          <cell r="C35">
            <v>-2878</v>
          </cell>
          <cell r="D35">
            <v>-2467.5419999999999</v>
          </cell>
          <cell r="E35">
            <v>-885</v>
          </cell>
          <cell r="F35">
            <v>-1429</v>
          </cell>
          <cell r="G35">
            <v>-3003</v>
          </cell>
          <cell r="H35">
            <v>-8342</v>
          </cell>
          <cell r="I35">
            <v>-7672.4452999999985</v>
          </cell>
          <cell r="J35">
            <v>-2923</v>
          </cell>
          <cell r="K35">
            <v>-3901</v>
          </cell>
          <cell r="L35">
            <v>-9404</v>
          </cell>
          <cell r="M35">
            <v>-5693</v>
          </cell>
          <cell r="N35">
            <v>-3442.357</v>
          </cell>
          <cell r="O35">
            <v>-4960.72</v>
          </cell>
          <cell r="P35">
            <v>-3669</v>
          </cell>
          <cell r="Q35">
            <v>-38410.817999999999</v>
          </cell>
          <cell r="R35">
            <v>-17799</v>
          </cell>
          <cell r="S35">
            <v>-16816.430200000003</v>
          </cell>
          <cell r="T35">
            <v>-10699</v>
          </cell>
          <cell r="U35">
            <v>-13331.68</v>
          </cell>
          <cell r="V35">
            <v>-19034.400000000001</v>
          </cell>
          <cell r="W35">
            <v>-12530</v>
          </cell>
          <cell r="Y35">
            <v>-189291.39249999999</v>
          </cell>
        </row>
        <row r="36">
          <cell r="C36">
            <v>-205</v>
          </cell>
          <cell r="D36">
            <v>-1319.337</v>
          </cell>
          <cell r="E36">
            <v>-574</v>
          </cell>
          <cell r="F36">
            <v>-947</v>
          </cell>
          <cell r="G36">
            <v>-1004</v>
          </cell>
          <cell r="H36">
            <v>-1241</v>
          </cell>
          <cell r="I36">
            <v>-4958.0064000000002</v>
          </cell>
          <cell r="J36">
            <v>-1750</v>
          </cell>
          <cell r="K36">
            <v>-863</v>
          </cell>
          <cell r="L36">
            <v>-2546</v>
          </cell>
          <cell r="M36">
            <v>-3453</v>
          </cell>
          <cell r="N36">
            <v>-5310.0381999999991</v>
          </cell>
          <cell r="O36">
            <v>-1128.18</v>
          </cell>
          <cell r="P36">
            <v>-2237</v>
          </cell>
          <cell r="Q36">
            <v>-4640.3289999999997</v>
          </cell>
          <cell r="R36">
            <v>-8948</v>
          </cell>
          <cell r="S36">
            <v>-3035.2504000000004</v>
          </cell>
          <cell r="T36">
            <v>-2914</v>
          </cell>
          <cell r="U36">
            <v>-969.94</v>
          </cell>
          <cell r="V36">
            <v>-1898</v>
          </cell>
          <cell r="W36">
            <v>-3831</v>
          </cell>
          <cell r="Y36">
            <v>-53772.080999999998</v>
          </cell>
        </row>
        <row r="37">
          <cell r="C37">
            <v>-10180</v>
          </cell>
          <cell r="D37">
            <v>-10804.106</v>
          </cell>
          <cell r="E37">
            <v>-7494</v>
          </cell>
          <cell r="F37">
            <v>-5979</v>
          </cell>
          <cell r="G37">
            <v>-12888</v>
          </cell>
          <cell r="H37">
            <v>-36430</v>
          </cell>
          <cell r="I37">
            <v>-32716.250399999997</v>
          </cell>
          <cell r="J37">
            <v>-21881</v>
          </cell>
          <cell r="K37">
            <v>-18263</v>
          </cell>
          <cell r="L37">
            <v>-37280</v>
          </cell>
          <cell r="M37">
            <v>-28495</v>
          </cell>
          <cell r="N37">
            <v>-31890.165700000001</v>
          </cell>
          <cell r="O37">
            <v>-19419.07</v>
          </cell>
          <cell r="P37">
            <v>-19817</v>
          </cell>
          <cell r="Q37">
            <v>-170840.41199999998</v>
          </cell>
          <cell r="R37">
            <v>-98830</v>
          </cell>
          <cell r="S37">
            <v>-85574.816000000006</v>
          </cell>
          <cell r="T37">
            <v>-79071</v>
          </cell>
          <cell r="U37">
            <v>-49647.57</v>
          </cell>
          <cell r="V37">
            <v>-99447.4</v>
          </cell>
          <cell r="W37">
            <v>-59207</v>
          </cell>
          <cell r="Y37">
            <v>-936154.79009999998</v>
          </cell>
        </row>
        <row r="39">
          <cell r="C39">
            <v>-2213</v>
          </cell>
          <cell r="D39">
            <v>-2295.509</v>
          </cell>
          <cell r="E39">
            <v>-2051</v>
          </cell>
          <cell r="F39">
            <v>-3271</v>
          </cell>
          <cell r="G39">
            <v>-3546</v>
          </cell>
          <cell r="H39">
            <v>-7545</v>
          </cell>
          <cell r="I39">
            <v>-6628.0165999999999</v>
          </cell>
          <cell r="J39">
            <v>-4313</v>
          </cell>
          <cell r="K39">
            <v>-4439</v>
          </cell>
          <cell r="L39">
            <v>-9867</v>
          </cell>
          <cell r="M39">
            <v>-6494</v>
          </cell>
          <cell r="N39">
            <v>-4061.3087</v>
          </cell>
          <cell r="O39">
            <v>-4068.09</v>
          </cell>
          <cell r="P39">
            <v>-2872</v>
          </cell>
          <cell r="Q39">
            <v>-25762.062000000002</v>
          </cell>
          <cell r="R39">
            <v>-14734</v>
          </cell>
          <cell r="S39">
            <v>-11422.987599999999</v>
          </cell>
          <cell r="T39">
            <v>-20773</v>
          </cell>
          <cell r="U39">
            <v>-8101.3</v>
          </cell>
          <cell r="V39">
            <v>-12993</v>
          </cell>
          <cell r="W39">
            <v>-18270</v>
          </cell>
          <cell r="Y39">
            <v>-175720.27389999997</v>
          </cell>
        </row>
        <row r="40">
          <cell r="C40">
            <v>-3298</v>
          </cell>
          <cell r="D40">
            <v>-3423.9820000000009</v>
          </cell>
          <cell r="E40">
            <v>-2548</v>
          </cell>
          <cell r="F40">
            <v>-5200</v>
          </cell>
          <cell r="G40">
            <v>-5398</v>
          </cell>
          <cell r="H40">
            <v>-10389</v>
          </cell>
          <cell r="I40">
            <v>-11525.239600000001</v>
          </cell>
          <cell r="J40">
            <v>-8079</v>
          </cell>
          <cell r="K40">
            <v>-6027</v>
          </cell>
          <cell r="L40">
            <v>-15106</v>
          </cell>
          <cell r="M40">
            <v>-10310</v>
          </cell>
          <cell r="N40">
            <v>-10107.6746</v>
          </cell>
          <cell r="O40">
            <v>-5934.31</v>
          </cell>
          <cell r="P40">
            <v>-8057</v>
          </cell>
          <cell r="Q40">
            <v>-44753.896999999997</v>
          </cell>
          <cell r="R40">
            <v>-16372</v>
          </cell>
          <cell r="S40">
            <v>-25563.180100000001</v>
          </cell>
          <cell r="T40">
            <v>-23432</v>
          </cell>
          <cell r="U40">
            <v>-11637.42</v>
          </cell>
          <cell r="V40">
            <v>-23248</v>
          </cell>
          <cell r="W40">
            <v>-23851</v>
          </cell>
          <cell r="Y40">
            <v>-274260.70330000005</v>
          </cell>
        </row>
        <row r="41">
          <cell r="C41">
            <v>-1196</v>
          </cell>
          <cell r="D41">
            <v>-629.88499999999999</v>
          </cell>
          <cell r="E41">
            <v>-545</v>
          </cell>
          <cell r="F41">
            <v>-1355</v>
          </cell>
          <cell r="G41">
            <v>-783</v>
          </cell>
          <cell r="H41">
            <v>-2277</v>
          </cell>
          <cell r="I41">
            <v>-2026.7806</v>
          </cell>
          <cell r="J41">
            <v>-1247</v>
          </cell>
          <cell r="K41">
            <v>-845</v>
          </cell>
          <cell r="L41">
            <v>-2890</v>
          </cell>
          <cell r="M41">
            <v>-2251</v>
          </cell>
          <cell r="N41">
            <v>-2760.3222000000001</v>
          </cell>
          <cell r="O41">
            <v>-963.36</v>
          </cell>
          <cell r="P41">
            <v>-1667</v>
          </cell>
          <cell r="Q41">
            <v>-8335.7480000000014</v>
          </cell>
          <cell r="R41">
            <v>-1166</v>
          </cell>
          <cell r="S41">
            <v>-3413.0132999999996</v>
          </cell>
          <cell r="T41">
            <v>-3048</v>
          </cell>
          <cell r="U41">
            <v>-2357.9299999999998</v>
          </cell>
          <cell r="V41">
            <v>-4347</v>
          </cell>
          <cell r="W41">
            <v>-4040</v>
          </cell>
          <cell r="Y41">
            <v>-48144.039100000002</v>
          </cell>
        </row>
        <row r="42">
          <cell r="C42">
            <v>-918</v>
          </cell>
          <cell r="D42">
            <v>-1515.2669999999998</v>
          </cell>
          <cell r="E42">
            <v>-1343</v>
          </cell>
          <cell r="F42">
            <v>-1731</v>
          </cell>
          <cell r="G42">
            <v>-2872</v>
          </cell>
          <cell r="H42">
            <v>-5130</v>
          </cell>
          <cell r="I42">
            <v>-5714.3055000000004</v>
          </cell>
          <cell r="J42">
            <v>-3380</v>
          </cell>
          <cell r="K42">
            <v>-2545</v>
          </cell>
          <cell r="L42">
            <v>-5203</v>
          </cell>
          <cell r="M42">
            <v>-4410</v>
          </cell>
          <cell r="N42">
            <v>-4873.1365999999998</v>
          </cell>
          <cell r="O42">
            <v>-2682.25</v>
          </cell>
          <cell r="P42">
            <v>-5593</v>
          </cell>
          <cell r="Q42">
            <v>-13870.5</v>
          </cell>
          <cell r="R42">
            <v>-9445</v>
          </cell>
          <cell r="S42">
            <v>-18781.998599999999</v>
          </cell>
          <cell r="T42">
            <v>-6861</v>
          </cell>
          <cell r="U42">
            <v>-6550.13</v>
          </cell>
          <cell r="V42">
            <v>-12847.4</v>
          </cell>
          <cell r="W42">
            <v>-8005</v>
          </cell>
          <cell r="Y42">
            <v>-124270.9877</v>
          </cell>
        </row>
        <row r="43">
          <cell r="C43">
            <v>-942</v>
          </cell>
          <cell r="D43">
            <v>-2559.4760000000001</v>
          </cell>
          <cell r="E43">
            <v>-2214</v>
          </cell>
          <cell r="F43">
            <v>-1628</v>
          </cell>
          <cell r="G43">
            <v>-3758</v>
          </cell>
          <cell r="H43">
            <v>-6124</v>
          </cell>
          <cell r="I43">
            <v>-5840.3682999999992</v>
          </cell>
          <cell r="J43">
            <v>-7416</v>
          </cell>
          <cell r="K43">
            <v>-2628</v>
          </cell>
          <cell r="L43">
            <v>-8966</v>
          </cell>
          <cell r="M43">
            <v>-7071</v>
          </cell>
          <cell r="N43">
            <v>-5450.4922999999999</v>
          </cell>
          <cell r="O43">
            <v>-4565.5200000000004</v>
          </cell>
          <cell r="P43">
            <v>-7375</v>
          </cell>
          <cell r="Q43">
            <v>-60589.986000000004</v>
          </cell>
          <cell r="R43">
            <v>-26201</v>
          </cell>
          <cell r="S43">
            <v>-16774.763500000001</v>
          </cell>
          <cell r="T43">
            <v>-21965</v>
          </cell>
          <cell r="U43">
            <v>-8507.3799999999992</v>
          </cell>
          <cell r="V43">
            <v>-13898</v>
          </cell>
          <cell r="W43">
            <v>-29202</v>
          </cell>
          <cell r="Y43">
            <v>-243675.98610000001</v>
          </cell>
        </row>
        <row r="44">
          <cell r="C44">
            <v>-511</v>
          </cell>
          <cell r="D44">
            <v>-279.04000000000002</v>
          </cell>
          <cell r="E44">
            <v>-648</v>
          </cell>
          <cell r="F44">
            <v>-834</v>
          </cell>
          <cell r="G44">
            <v>-783</v>
          </cell>
          <cell r="H44">
            <v>-1984</v>
          </cell>
          <cell r="I44">
            <v>-2371.3514999999998</v>
          </cell>
          <cell r="J44">
            <v>-426</v>
          </cell>
          <cell r="K44">
            <v>-1107</v>
          </cell>
          <cell r="L44">
            <v>-1635</v>
          </cell>
          <cell r="M44">
            <v>-2046</v>
          </cell>
          <cell r="N44">
            <v>494.08929999999992</v>
          </cell>
          <cell r="O44">
            <v>-436.44</v>
          </cell>
          <cell r="P44">
            <v>-1372</v>
          </cell>
          <cell r="Q44">
            <v>-3861.3030000000003</v>
          </cell>
          <cell r="R44">
            <v>-2467</v>
          </cell>
          <cell r="S44">
            <v>-3909.2557999999995</v>
          </cell>
          <cell r="T44">
            <v>-5443</v>
          </cell>
          <cell r="U44">
            <v>-1320.29</v>
          </cell>
          <cell r="V44">
            <v>-7510</v>
          </cell>
          <cell r="W44">
            <v>-2358</v>
          </cell>
          <cell r="Y44">
            <v>-40807.591</v>
          </cell>
        </row>
        <row r="45">
          <cell r="C45">
            <v>-1212</v>
          </cell>
          <cell r="D45">
            <v>-1027.6259999999997</v>
          </cell>
          <cell r="E45">
            <v>-1139</v>
          </cell>
          <cell r="F45">
            <v>-1904</v>
          </cell>
          <cell r="G45">
            <v>-2705</v>
          </cell>
          <cell r="H45">
            <v>-4465</v>
          </cell>
          <cell r="I45">
            <v>-533.92510000000004</v>
          </cell>
          <cell r="J45">
            <v>-3352</v>
          </cell>
          <cell r="K45">
            <v>-2583</v>
          </cell>
          <cell r="L45">
            <v>-16834</v>
          </cell>
          <cell r="M45">
            <v>-4286</v>
          </cell>
          <cell r="N45">
            <v>-3605.8553999999999</v>
          </cell>
          <cell r="O45">
            <v>-1574.67</v>
          </cell>
          <cell r="P45">
            <v>-2335</v>
          </cell>
          <cell r="Q45">
            <v>-47683.936600000001</v>
          </cell>
          <cell r="R45">
            <v>-70320</v>
          </cell>
          <cell r="S45">
            <v>-7890.8017000000018</v>
          </cell>
          <cell r="T45">
            <v>-13522</v>
          </cell>
          <cell r="U45">
            <v>-3046.11</v>
          </cell>
          <cell r="V45">
            <v>-8895</v>
          </cell>
          <cell r="W45">
            <v>-9125</v>
          </cell>
          <cell r="Y45">
            <v>-208039.92479999998</v>
          </cell>
        </row>
        <row r="46">
          <cell r="C46">
            <v>0</v>
          </cell>
          <cell r="D46">
            <v>0</v>
          </cell>
          <cell r="E46">
            <v>0</v>
          </cell>
          <cell r="F46">
            <v>-41</v>
          </cell>
          <cell r="G46">
            <v>0</v>
          </cell>
          <cell r="H46">
            <v>0</v>
          </cell>
          <cell r="I46">
            <v>-1.0815999999999999</v>
          </cell>
          <cell r="J46">
            <v>-3</v>
          </cell>
          <cell r="K46">
            <v>0</v>
          </cell>
          <cell r="L46">
            <v>9</v>
          </cell>
          <cell r="M46">
            <v>-40</v>
          </cell>
          <cell r="N46">
            <v>-19.406900000000004</v>
          </cell>
          <cell r="O46">
            <v>0</v>
          </cell>
          <cell r="P46">
            <v>0</v>
          </cell>
          <cell r="Q46">
            <v>-4.5</v>
          </cell>
          <cell r="R46">
            <v>-14</v>
          </cell>
          <cell r="S46">
            <v>-454.63519999999994</v>
          </cell>
          <cell r="T46">
            <v>0</v>
          </cell>
          <cell r="U46">
            <v>0</v>
          </cell>
          <cell r="V46">
            <v>0</v>
          </cell>
          <cell r="W46">
            <v>-5</v>
          </cell>
          <cell r="Y46">
            <v>-573.62369999999999</v>
          </cell>
        </row>
        <row r="47">
          <cell r="C47">
            <v>0</v>
          </cell>
          <cell r="D47">
            <v>195.28800000000001</v>
          </cell>
          <cell r="E47">
            <v>0</v>
          </cell>
          <cell r="F47">
            <v>0</v>
          </cell>
          <cell r="G47">
            <v>0</v>
          </cell>
          <cell r="H47">
            <v>0</v>
          </cell>
          <cell r="I47">
            <v>0</v>
          </cell>
          <cell r="J47">
            <v>0</v>
          </cell>
          <cell r="K47">
            <v>21</v>
          </cell>
          <cell r="L47">
            <v>0</v>
          </cell>
          <cell r="M47">
            <v>0</v>
          </cell>
          <cell r="N47">
            <v>0</v>
          </cell>
          <cell r="O47">
            <v>0</v>
          </cell>
          <cell r="P47">
            <v>24</v>
          </cell>
          <cell r="Q47">
            <v>0</v>
          </cell>
          <cell r="R47">
            <v>1411</v>
          </cell>
          <cell r="S47">
            <v>-319</v>
          </cell>
          <cell r="T47">
            <v>0</v>
          </cell>
          <cell r="U47">
            <v>0</v>
          </cell>
          <cell r="V47">
            <v>-40</v>
          </cell>
          <cell r="W47">
            <v>0</v>
          </cell>
          <cell r="Y47">
            <v>1292.288</v>
          </cell>
        </row>
        <row r="48">
          <cell r="C48">
            <v>-10290</v>
          </cell>
          <cell r="D48">
            <v>-11535.496999999999</v>
          </cell>
          <cell r="E48">
            <v>-10488</v>
          </cell>
          <cell r="F48">
            <v>-15964</v>
          </cell>
          <cell r="G48">
            <v>-19845</v>
          </cell>
          <cell r="H48">
            <v>-37914</v>
          </cell>
          <cell r="I48">
            <v>-34641.068799999994</v>
          </cell>
          <cell r="J48">
            <v>-28216</v>
          </cell>
          <cell r="K48">
            <v>-20153</v>
          </cell>
          <cell r="L48">
            <v>-60492</v>
          </cell>
          <cell r="M48">
            <v>-36908</v>
          </cell>
          <cell r="N48">
            <v>-30384.107400000001</v>
          </cell>
          <cell r="O48">
            <v>-20224.64</v>
          </cell>
          <cell r="P48">
            <v>-29247</v>
          </cell>
          <cell r="Q48">
            <v>-204861.9326</v>
          </cell>
          <cell r="R48">
            <v>-139308</v>
          </cell>
          <cell r="S48">
            <v>-88529.635800000004</v>
          </cell>
          <cell r="T48">
            <v>-95044</v>
          </cell>
          <cell r="U48">
            <v>-41520.559999999998</v>
          </cell>
          <cell r="V48">
            <v>-83778.399999999994</v>
          </cell>
          <cell r="W48">
            <v>-94856</v>
          </cell>
          <cell r="Y48">
            <v>-1114200.8415999999</v>
          </cell>
        </row>
        <row r="50">
          <cell r="C50">
            <v>283</v>
          </cell>
          <cell r="D50">
            <v>0</v>
          </cell>
          <cell r="E50">
            <v>0</v>
          </cell>
          <cell r="F50">
            <v>-936</v>
          </cell>
          <cell r="G50">
            <v>-424</v>
          </cell>
          <cell r="H50">
            <v>-721</v>
          </cell>
          <cell r="I50">
            <v>3.7528000000000001</v>
          </cell>
          <cell r="J50">
            <v>454</v>
          </cell>
          <cell r="K50">
            <v>-372</v>
          </cell>
          <cell r="L50">
            <v>-7956</v>
          </cell>
          <cell r="M50">
            <v>726</v>
          </cell>
          <cell r="N50">
            <v>332.94579999999996</v>
          </cell>
          <cell r="O50">
            <v>-374.5</v>
          </cell>
          <cell r="P50">
            <v>5</v>
          </cell>
          <cell r="Q50">
            <v>79.539000000000001</v>
          </cell>
          <cell r="R50">
            <v>-400</v>
          </cell>
          <cell r="S50">
            <v>2606.3069999999998</v>
          </cell>
          <cell r="T50">
            <v>0</v>
          </cell>
          <cell r="U50">
            <v>-575</v>
          </cell>
          <cell r="V50">
            <v>1410</v>
          </cell>
          <cell r="W50">
            <v>50</v>
          </cell>
          <cell r="Y50">
            <v>-5807.9553999999998</v>
          </cell>
        </row>
        <row r="51">
          <cell r="C51">
            <v>-20187</v>
          </cell>
          <cell r="D51">
            <v>-22339.602999999999</v>
          </cell>
          <cell r="E51">
            <v>-17982</v>
          </cell>
          <cell r="F51">
            <v>-22879</v>
          </cell>
          <cell r="G51">
            <v>-33157</v>
          </cell>
          <cell r="H51">
            <v>-75065</v>
          </cell>
          <cell r="I51">
            <v>-67353.566399999996</v>
          </cell>
          <cell r="J51">
            <v>-49643</v>
          </cell>
          <cell r="K51">
            <v>-38788</v>
          </cell>
          <cell r="L51">
            <v>-105728</v>
          </cell>
          <cell r="M51">
            <v>-64677</v>
          </cell>
          <cell r="N51">
            <v>-61941.327300000004</v>
          </cell>
          <cell r="O51">
            <v>-40018.21</v>
          </cell>
          <cell r="P51">
            <v>-49059</v>
          </cell>
          <cell r="Q51">
            <v>-375622.80559999996</v>
          </cell>
          <cell r="R51">
            <v>-238538</v>
          </cell>
          <cell r="S51">
            <v>-171498.14480000001</v>
          </cell>
          <cell r="T51">
            <v>-174115</v>
          </cell>
          <cell r="U51">
            <v>-91743.13</v>
          </cell>
          <cell r="V51">
            <v>-181815.8</v>
          </cell>
          <cell r="W51">
            <v>-154013</v>
          </cell>
          <cell r="Y51">
            <v>-2056163.5870999999</v>
          </cell>
        </row>
        <row r="52">
          <cell r="A52" t="str">
            <v>Total Expenses</v>
          </cell>
          <cell r="C52">
            <v>-72486</v>
          </cell>
          <cell r="D52">
            <v>-66352.238499999992</v>
          </cell>
          <cell r="E52">
            <v>-53130.5</v>
          </cell>
          <cell r="F52">
            <v>-78133</v>
          </cell>
          <cell r="G52">
            <v>-99825</v>
          </cell>
          <cell r="H52">
            <v>-259245</v>
          </cell>
          <cell r="I52">
            <v>-218564.17469999997</v>
          </cell>
          <cell r="J52">
            <v>-177638</v>
          </cell>
          <cell r="K52">
            <v>-122660</v>
          </cell>
          <cell r="L52">
            <v>-267338</v>
          </cell>
          <cell r="M52">
            <v>-199206.01</v>
          </cell>
          <cell r="N52">
            <v>-205416.23480000001</v>
          </cell>
          <cell r="O52">
            <v>-122847.81899999999</v>
          </cell>
          <cell r="P52">
            <v>-157351</v>
          </cell>
          <cell r="Q52">
            <v>-1025562.3365999999</v>
          </cell>
          <cell r="R52">
            <v>-713027</v>
          </cell>
          <cell r="S52">
            <v>-478175.59790000005</v>
          </cell>
          <cell r="T52">
            <v>-560139</v>
          </cell>
          <cell r="U52">
            <v>-276923.82</v>
          </cell>
          <cell r="V52">
            <v>-550282.87699999998</v>
          </cell>
          <cell r="W52">
            <v>-564833</v>
          </cell>
          <cell r="Y52">
            <v>-6269136.608500001</v>
          </cell>
        </row>
        <row r="53">
          <cell r="C53">
            <v>-1582</v>
          </cell>
          <cell r="D53">
            <v>-1246.5234999999957</v>
          </cell>
          <cell r="E53">
            <v>-3175.5</v>
          </cell>
          <cell r="F53">
            <v>-14994</v>
          </cell>
          <cell r="G53">
            <v>-7143</v>
          </cell>
          <cell r="H53">
            <v>879</v>
          </cell>
          <cell r="I53">
            <v>-11989.348800000007</v>
          </cell>
          <cell r="J53">
            <v>-10795</v>
          </cell>
          <cell r="K53">
            <v>965</v>
          </cell>
          <cell r="L53">
            <v>-7665</v>
          </cell>
          <cell r="M53">
            <v>17.989999999990687</v>
          </cell>
          <cell r="N53">
            <v>140.26500000001397</v>
          </cell>
          <cell r="O53">
            <v>-7550.330999999991</v>
          </cell>
          <cell r="P53">
            <v>-6932</v>
          </cell>
          <cell r="Q53">
            <v>-14169.745100000058</v>
          </cell>
          <cell r="R53">
            <v>-15906</v>
          </cell>
          <cell r="S53">
            <v>-43451.943300000101</v>
          </cell>
          <cell r="T53">
            <v>3643</v>
          </cell>
          <cell r="U53">
            <v>-7365.0200000000186</v>
          </cell>
          <cell r="V53">
            <v>-3369.8769999999786</v>
          </cell>
          <cell r="W53">
            <v>-14933</v>
          </cell>
          <cell r="Y53">
            <v>-166623.03370000015</v>
          </cell>
        </row>
        <row r="55">
          <cell r="C55">
            <v>-2964</v>
          </cell>
          <cell r="D55">
            <v>-3119.39</v>
          </cell>
          <cell r="E55">
            <v>-1855</v>
          </cell>
          <cell r="F55">
            <v>-4476</v>
          </cell>
          <cell r="G55">
            <v>-4908</v>
          </cell>
          <cell r="H55">
            <v>-11809</v>
          </cell>
          <cell r="I55">
            <v>-9621.5349999999999</v>
          </cell>
          <cell r="J55">
            <v>-7543</v>
          </cell>
          <cell r="K55">
            <v>-7520</v>
          </cell>
          <cell r="L55">
            <v>-9673</v>
          </cell>
          <cell r="M55">
            <v>-9758</v>
          </cell>
          <cell r="N55">
            <v>-8819.4872999999989</v>
          </cell>
          <cell r="O55">
            <v>-5503.25</v>
          </cell>
          <cell r="P55">
            <v>-7599</v>
          </cell>
          <cell r="Q55">
            <v>-44644.899900000004</v>
          </cell>
          <cell r="R55">
            <v>-47793</v>
          </cell>
          <cell r="S55">
            <v>-19025.568699999996</v>
          </cell>
          <cell r="T55">
            <v>-23294</v>
          </cell>
          <cell r="U55">
            <v>-13171.36</v>
          </cell>
          <cell r="V55">
            <v>-23869</v>
          </cell>
          <cell r="W55">
            <v>-20404</v>
          </cell>
          <cell r="Y55">
            <v>-287370.49089999998</v>
          </cell>
        </row>
        <row r="56">
          <cell r="C56">
            <v>0</v>
          </cell>
          <cell r="D56">
            <v>0</v>
          </cell>
          <cell r="E56">
            <v>-143</v>
          </cell>
          <cell r="F56">
            <v>-66</v>
          </cell>
          <cell r="G56">
            <v>-471</v>
          </cell>
          <cell r="H56">
            <v>-133</v>
          </cell>
          <cell r="I56">
            <v>-292.12720000000002</v>
          </cell>
          <cell r="J56">
            <v>-6</v>
          </cell>
          <cell r="K56">
            <v>-25</v>
          </cell>
          <cell r="L56">
            <v>0</v>
          </cell>
          <cell r="M56">
            <v>0</v>
          </cell>
          <cell r="N56">
            <v>0</v>
          </cell>
          <cell r="O56">
            <v>0</v>
          </cell>
          <cell r="P56">
            <v>0</v>
          </cell>
          <cell r="Q56">
            <v>-10312.276</v>
          </cell>
          <cell r="R56">
            <v>0</v>
          </cell>
          <cell r="S56">
            <v>-510.32799999999997</v>
          </cell>
          <cell r="T56">
            <v>-8186</v>
          </cell>
          <cell r="U56">
            <v>-22.78</v>
          </cell>
          <cell r="V56">
            <v>-149</v>
          </cell>
          <cell r="W56">
            <v>-2832</v>
          </cell>
          <cell r="Y56">
            <v>-23148.511200000001</v>
          </cell>
        </row>
        <row r="57">
          <cell r="C57">
            <v>-61</v>
          </cell>
          <cell r="D57">
            <v>-992.51099999999997</v>
          </cell>
          <cell r="E57">
            <v>-1318</v>
          </cell>
          <cell r="F57">
            <v>-799</v>
          </cell>
          <cell r="G57">
            <v>-1537</v>
          </cell>
          <cell r="H57">
            <v>-2451</v>
          </cell>
          <cell r="I57">
            <v>-1606.0699</v>
          </cell>
          <cell r="J57">
            <v>-1216</v>
          </cell>
          <cell r="K57">
            <v>0</v>
          </cell>
          <cell r="L57">
            <v>-3660</v>
          </cell>
          <cell r="M57">
            <v>-2226</v>
          </cell>
          <cell r="N57">
            <v>-1478.2395999999999</v>
          </cell>
          <cell r="O57">
            <v>-3212.51</v>
          </cell>
          <cell r="P57">
            <v>-1985</v>
          </cell>
          <cell r="Q57">
            <v>-11729.002999999999</v>
          </cell>
          <cell r="R57">
            <v>-5584</v>
          </cell>
          <cell r="S57">
            <v>-8689.4839999999986</v>
          </cell>
          <cell r="T57">
            <v>0</v>
          </cell>
          <cell r="U57">
            <v>-2697.03</v>
          </cell>
          <cell r="V57">
            <v>-2702</v>
          </cell>
          <cell r="W57">
            <v>-11744</v>
          </cell>
          <cell r="Y57">
            <v>-65687.847500000003</v>
          </cell>
        </row>
        <row r="58">
          <cell r="C58">
            <v>-862</v>
          </cell>
          <cell r="D58">
            <v>-1671.27</v>
          </cell>
          <cell r="E58">
            <v>-728</v>
          </cell>
          <cell r="F58">
            <v>-671</v>
          </cell>
          <cell r="G58">
            <v>-1723</v>
          </cell>
          <cell r="H58">
            <v>-3511</v>
          </cell>
          <cell r="I58">
            <v>-3622.3990000000003</v>
          </cell>
          <cell r="J58">
            <v>-6164</v>
          </cell>
          <cell r="K58">
            <v>-2565</v>
          </cell>
          <cell r="L58">
            <v>-5239</v>
          </cell>
          <cell r="M58">
            <v>-4521</v>
          </cell>
          <cell r="N58">
            <v>-3951.4837000000002</v>
          </cell>
          <cell r="O58">
            <v>-968.32299999999998</v>
          </cell>
          <cell r="P58">
            <v>-5321</v>
          </cell>
          <cell r="Q58">
            <v>-38405.498999999996</v>
          </cell>
          <cell r="R58">
            <v>-20617</v>
          </cell>
          <cell r="S58">
            <v>-6264.3430000000008</v>
          </cell>
          <cell r="T58">
            <v>-13722</v>
          </cell>
          <cell r="U58">
            <v>-5131.75</v>
          </cell>
          <cell r="V58">
            <v>-10925</v>
          </cell>
          <cell r="W58">
            <v>-14195</v>
          </cell>
          <cell r="Y58">
            <v>-150779.06769999999</v>
          </cell>
        </row>
        <row r="140">
          <cell r="C140" t="str">
            <v>South Canterbury DHB</v>
          </cell>
          <cell r="D140" t="str">
            <v>Tairawhiti DHB</v>
          </cell>
          <cell r="E140" t="str">
            <v>Wairarapa DHB</v>
          </cell>
          <cell r="F140" t="str">
            <v>West Coast DHB</v>
          </cell>
          <cell r="G140" t="str">
            <v>Whanganui DHB</v>
          </cell>
          <cell r="H140" t="str">
            <v>Bay of Plenty DHB</v>
          </cell>
          <cell r="I140" t="str">
            <v>Hawke's Bay DHB</v>
          </cell>
          <cell r="J140" t="str">
            <v>Hutt Valley DHB</v>
          </cell>
          <cell r="K140" t="str">
            <v>Lakes DHB</v>
          </cell>
          <cell r="L140" t="str">
            <v>MidCentral DHB</v>
          </cell>
          <cell r="M140" t="str">
            <v>Nelson Marlborough DHB</v>
          </cell>
          <cell r="N140" t="str">
            <v>Northland DHB</v>
          </cell>
          <cell r="O140" t="str">
            <v>Southland DHB</v>
          </cell>
          <cell r="P140" t="str">
            <v>Taranaki DHB</v>
          </cell>
          <cell r="Q140" t="str">
            <v>Auckland DHB</v>
          </cell>
          <cell r="R140" t="str">
            <v>Canterbury DHB</v>
          </cell>
          <cell r="S140" t="str">
            <v>Capital &amp; Coast DHB</v>
          </cell>
          <cell r="T140" t="str">
            <v>Counties Manukau DHB</v>
          </cell>
          <cell r="U140" t="str">
            <v>Otago DHB</v>
          </cell>
          <cell r="V140" t="str">
            <v>Waikato DHB</v>
          </cell>
          <cell r="W140" t="str">
            <v>Waitemata DHB</v>
          </cell>
          <cell r="Y140" t="str">
            <v>All DHBs</v>
          </cell>
        </row>
        <row r="142">
          <cell r="C142">
            <v>75813.5</v>
          </cell>
          <cell r="D142">
            <v>74183.564999999988</v>
          </cell>
          <cell r="E142">
            <v>56298</v>
          </cell>
          <cell r="F142">
            <v>67988</v>
          </cell>
          <cell r="G142">
            <v>98084</v>
          </cell>
          <cell r="H142">
            <v>288531</v>
          </cell>
          <cell r="I142">
            <v>229786.11470000003</v>
          </cell>
          <cell r="J142">
            <v>191587</v>
          </cell>
          <cell r="K142">
            <v>130107</v>
          </cell>
          <cell r="L142">
            <v>277757</v>
          </cell>
          <cell r="M142">
            <v>217144</v>
          </cell>
          <cell r="N142">
            <v>223097.13489999998</v>
          </cell>
          <cell r="O142">
            <v>128138.55989999999</v>
          </cell>
          <cell r="P142">
            <v>158805</v>
          </cell>
          <cell r="Q142">
            <v>1076716.6440000001</v>
          </cell>
          <cell r="R142">
            <v>755402</v>
          </cell>
          <cell r="S142">
            <v>475727.7705000001</v>
          </cell>
          <cell r="T142">
            <v>618547</v>
          </cell>
          <cell r="U142">
            <v>289603.19500000001</v>
          </cell>
          <cell r="V142">
            <v>605883</v>
          </cell>
          <cell r="W142">
            <v>609326</v>
          </cell>
          <cell r="Y142">
            <v>6648525.4840000011</v>
          </cell>
        </row>
        <row r="145">
          <cell r="C145">
            <v>-10890</v>
          </cell>
          <cell r="D145">
            <v>-13892.575000000001</v>
          </cell>
          <cell r="E145">
            <v>-7571</v>
          </cell>
          <cell r="F145">
            <v>-7997</v>
          </cell>
          <cell r="G145">
            <v>-16355</v>
          </cell>
          <cell r="H145">
            <v>-46271</v>
          </cell>
          <cell r="I145">
            <v>-35949.258600000008</v>
          </cell>
          <cell r="J145">
            <v>-35612</v>
          </cell>
          <cell r="K145">
            <v>-22424</v>
          </cell>
          <cell r="L145">
            <v>-45330</v>
          </cell>
          <cell r="M145">
            <v>-33204</v>
          </cell>
          <cell r="N145">
            <v>-33553.299000000006</v>
          </cell>
          <cell r="O145">
            <v>-22177.072</v>
          </cell>
          <cell r="P145">
            <v>-22110</v>
          </cell>
          <cell r="Q145">
            <v>-208811.929</v>
          </cell>
          <cell r="R145">
            <v>-130925</v>
          </cell>
          <cell r="S145">
            <v>-95962.642700000011</v>
          </cell>
          <cell r="T145">
            <v>-119200</v>
          </cell>
          <cell r="U145">
            <v>-56106.9</v>
          </cell>
          <cell r="V145">
            <v>-110618</v>
          </cell>
          <cell r="W145">
            <v>-114354</v>
          </cell>
          <cell r="Y145">
            <v>-1189314.6762999999</v>
          </cell>
        </row>
        <row r="146">
          <cell r="C146">
            <v>-21268</v>
          </cell>
          <cell r="D146">
            <v>-18545.811999999998</v>
          </cell>
          <cell r="E146">
            <v>-13231</v>
          </cell>
          <cell r="F146">
            <v>-19876</v>
          </cell>
          <cell r="G146">
            <v>-27379</v>
          </cell>
          <cell r="H146">
            <v>-71371</v>
          </cell>
          <cell r="I146">
            <v>-58071.733299999993</v>
          </cell>
          <cell r="J146">
            <v>-49932</v>
          </cell>
          <cell r="K146">
            <v>-33299</v>
          </cell>
          <cell r="L146">
            <v>-63401</v>
          </cell>
          <cell r="M146">
            <v>-47857</v>
          </cell>
          <cell r="N146">
            <v>-58977.150300000001</v>
          </cell>
          <cell r="O146">
            <v>-34047.613100000002</v>
          </cell>
          <cell r="P146">
            <v>-37191</v>
          </cell>
          <cell r="Q146">
            <v>-222624.02</v>
          </cell>
          <cell r="R146">
            <v>-208938</v>
          </cell>
          <cell r="S146">
            <v>-129726.99870000001</v>
          </cell>
          <cell r="T146">
            <v>-156825</v>
          </cell>
          <cell r="U146">
            <v>-70099.45</v>
          </cell>
          <cell r="V146">
            <v>-144006</v>
          </cell>
          <cell r="W146">
            <v>-165148</v>
          </cell>
          <cell r="Y146">
            <v>-1651814.7774</v>
          </cell>
        </row>
        <row r="147">
          <cell r="C147">
            <v>-5846</v>
          </cell>
          <cell r="D147">
            <v>-8602.11</v>
          </cell>
          <cell r="E147">
            <v>-5769</v>
          </cell>
          <cell r="F147">
            <v>-10156</v>
          </cell>
          <cell r="G147">
            <v>-8380</v>
          </cell>
          <cell r="H147">
            <v>-25476</v>
          </cell>
          <cell r="I147">
            <v>-23454.105500000001</v>
          </cell>
          <cell r="J147">
            <v>-24064</v>
          </cell>
          <cell r="K147">
            <v>-11534</v>
          </cell>
          <cell r="L147">
            <v>-21788</v>
          </cell>
          <cell r="M147">
            <v>-32251</v>
          </cell>
          <cell r="N147">
            <v>-25257.2009</v>
          </cell>
          <cell r="O147">
            <v>-10981.046499999999</v>
          </cell>
          <cell r="P147">
            <v>-15444</v>
          </cell>
          <cell r="Q147">
            <v>-112810.545</v>
          </cell>
          <cell r="R147">
            <v>-79149</v>
          </cell>
          <cell r="S147">
            <v>-41704.360400000005</v>
          </cell>
          <cell r="T147">
            <v>-50802</v>
          </cell>
          <cell r="U147">
            <v>-29510.35</v>
          </cell>
          <cell r="V147">
            <v>-51445</v>
          </cell>
          <cell r="W147">
            <v>-75982</v>
          </cell>
          <cell r="Y147">
            <v>-670405.71829999995</v>
          </cell>
        </row>
        <row r="148">
          <cell r="C148">
            <v>-2400</v>
          </cell>
          <cell r="D148">
            <v>-767.48500000000001</v>
          </cell>
          <cell r="E148">
            <v>-564</v>
          </cell>
          <cell r="F148">
            <v>-1779</v>
          </cell>
          <cell r="G148">
            <v>-754</v>
          </cell>
          <cell r="H148">
            <v>-6132</v>
          </cell>
          <cell r="I148">
            <v>-6028.3587999999991</v>
          </cell>
          <cell r="J148">
            <v>-4376</v>
          </cell>
          <cell r="K148">
            <v>-1663</v>
          </cell>
          <cell r="L148">
            <v>-1598</v>
          </cell>
          <cell r="M148">
            <v>-4999</v>
          </cell>
          <cell r="N148">
            <v>-3509.4149999999995</v>
          </cell>
          <cell r="O148">
            <v>-579.4221</v>
          </cell>
          <cell r="P148">
            <v>-3883</v>
          </cell>
          <cell r="Q148">
            <v>-7919.7219999999998</v>
          </cell>
          <cell r="R148">
            <v>-14284</v>
          </cell>
          <cell r="S148">
            <v>-7023.8557000000001</v>
          </cell>
          <cell r="T148">
            <v>-13120</v>
          </cell>
          <cell r="U148">
            <v>-6012.45</v>
          </cell>
          <cell r="V148">
            <v>-12923</v>
          </cell>
          <cell r="W148">
            <v>-5480</v>
          </cell>
          <cell r="Y148">
            <v>-105795.7086</v>
          </cell>
        </row>
        <row r="149">
          <cell r="C149">
            <v>-7340</v>
          </cell>
          <cell r="D149">
            <v>-6529.4460000000008</v>
          </cell>
          <cell r="E149">
            <v>-5589</v>
          </cell>
          <cell r="F149">
            <v>-6974</v>
          </cell>
          <cell r="G149">
            <v>-8715</v>
          </cell>
          <cell r="H149">
            <v>-23682</v>
          </cell>
          <cell r="I149">
            <v>-22561.992900000001</v>
          </cell>
          <cell r="J149">
            <v>-20835</v>
          </cell>
          <cell r="K149">
            <v>-12848</v>
          </cell>
          <cell r="L149">
            <v>-19362</v>
          </cell>
          <cell r="M149">
            <v>-19705</v>
          </cell>
          <cell r="N149">
            <v>-22623.931299999997</v>
          </cell>
          <cell r="O149">
            <v>-12030.016099999999</v>
          </cell>
          <cell r="P149">
            <v>-12779</v>
          </cell>
          <cell r="Q149">
            <v>-102209.40500000001</v>
          </cell>
          <cell r="R149">
            <v>-59677</v>
          </cell>
          <cell r="S149">
            <v>-44301.808599999997</v>
          </cell>
          <cell r="T149">
            <v>-46970</v>
          </cell>
          <cell r="U149">
            <v>-24221.45</v>
          </cell>
          <cell r="V149">
            <v>-57581</v>
          </cell>
          <cell r="W149">
            <v>-49044</v>
          </cell>
          <cell r="Y149">
            <v>-585579.04989999998</v>
          </cell>
        </row>
        <row r="150">
          <cell r="A150" t="str">
            <v>Total Personnel Expenses</v>
          </cell>
          <cell r="C150">
            <v>-47744</v>
          </cell>
          <cell r="D150">
            <v>-48337.428000000007</v>
          </cell>
          <cell r="E150">
            <v>-32724</v>
          </cell>
          <cell r="F150">
            <v>-46782</v>
          </cell>
          <cell r="G150">
            <v>-61583</v>
          </cell>
          <cell r="H150">
            <v>-172932</v>
          </cell>
          <cell r="I150">
            <v>-146065.4491</v>
          </cell>
          <cell r="J150">
            <v>-134819</v>
          </cell>
          <cell r="K150">
            <v>-81768</v>
          </cell>
          <cell r="L150">
            <v>-151479</v>
          </cell>
          <cell r="M150">
            <v>-138016</v>
          </cell>
          <cell r="N150">
            <v>-143920.99650000001</v>
          </cell>
          <cell r="O150">
            <v>-79815.177899999995</v>
          </cell>
          <cell r="P150">
            <v>-91407</v>
          </cell>
          <cell r="Q150">
            <v>-654375.62100000004</v>
          </cell>
          <cell r="R150">
            <v>-492973</v>
          </cell>
          <cell r="S150">
            <v>-318719.66610000003</v>
          </cell>
          <cell r="T150">
            <v>-386917</v>
          </cell>
          <cell r="U150">
            <v>-185950.6</v>
          </cell>
          <cell r="V150">
            <v>-376573</v>
          </cell>
          <cell r="W150">
            <v>-410008</v>
          </cell>
          <cell r="Y150">
            <v>-4202909.9386</v>
          </cell>
        </row>
        <row r="152">
          <cell r="C152">
            <v>-3509</v>
          </cell>
          <cell r="D152">
            <v>-2813.761</v>
          </cell>
          <cell r="E152">
            <v>-2158</v>
          </cell>
          <cell r="F152">
            <v>-9136</v>
          </cell>
          <cell r="G152">
            <v>-5779</v>
          </cell>
          <cell r="H152">
            <v>-6557</v>
          </cell>
          <cell r="I152">
            <v>-4876.4854999999998</v>
          </cell>
          <cell r="J152">
            <v>-2291</v>
          </cell>
          <cell r="K152">
            <v>-5429</v>
          </cell>
          <cell r="L152">
            <v>-4717</v>
          </cell>
          <cell r="M152">
            <v>-3846</v>
          </cell>
          <cell r="N152">
            <v>-6217.0334000000003</v>
          </cell>
          <cell r="O152">
            <v>-10034.264700000002</v>
          </cell>
          <cell r="P152">
            <v>-3222</v>
          </cell>
          <cell r="Q152">
            <v>-8950.6569999999992</v>
          </cell>
          <cell r="R152">
            <v>-9884</v>
          </cell>
          <cell r="S152">
            <v>-5946.1508000000003</v>
          </cell>
          <cell r="T152">
            <v>-4107</v>
          </cell>
          <cell r="U152">
            <v>-1601.74</v>
          </cell>
          <cell r="V152">
            <v>-6938</v>
          </cell>
          <cell r="W152">
            <v>-7141</v>
          </cell>
          <cell r="Y152">
            <v>-115154.09240000001</v>
          </cell>
        </row>
        <row r="153">
          <cell r="C153">
            <v>-45</v>
          </cell>
          <cell r="D153">
            <v>-145.15600000000001</v>
          </cell>
          <cell r="E153">
            <v>-76</v>
          </cell>
          <cell r="F153">
            <v>-219</v>
          </cell>
          <cell r="G153">
            <v>-2</v>
          </cell>
          <cell r="H153">
            <v>-737</v>
          </cell>
          <cell r="I153">
            <v>-47.500900000000001</v>
          </cell>
          <cell r="J153">
            <v>-286</v>
          </cell>
          <cell r="K153">
            <v>0</v>
          </cell>
          <cell r="L153">
            <v>-479</v>
          </cell>
          <cell r="M153">
            <v>-666</v>
          </cell>
          <cell r="N153">
            <v>-2.1506999999999996</v>
          </cell>
          <cell r="O153">
            <v>-10.3406</v>
          </cell>
          <cell r="P153">
            <v>0</v>
          </cell>
          <cell r="Q153">
            <v>-3471.3550000000005</v>
          </cell>
          <cell r="R153">
            <v>-4024</v>
          </cell>
          <cell r="S153">
            <v>-3666.0567999999998</v>
          </cell>
          <cell r="T153">
            <v>-2048</v>
          </cell>
          <cell r="U153">
            <v>-22.61</v>
          </cell>
          <cell r="V153">
            <v>-1541</v>
          </cell>
          <cell r="W153">
            <v>-4752</v>
          </cell>
          <cell r="Y153">
            <v>-22240.170000000002</v>
          </cell>
        </row>
        <row r="154">
          <cell r="C154">
            <v>-98</v>
          </cell>
          <cell r="D154">
            <v>-113.01199999999999</v>
          </cell>
          <cell r="E154">
            <v>-16</v>
          </cell>
          <cell r="F154">
            <v>-246</v>
          </cell>
          <cell r="G154">
            <v>-84</v>
          </cell>
          <cell r="H154">
            <v>-385</v>
          </cell>
          <cell r="I154">
            <v>-1094.3520999999998</v>
          </cell>
          <cell r="J154">
            <v>-231</v>
          </cell>
          <cell r="K154">
            <v>-402</v>
          </cell>
          <cell r="L154">
            <v>-17</v>
          </cell>
          <cell r="M154">
            <v>-33</v>
          </cell>
          <cell r="N154">
            <v>-537.24099999999999</v>
          </cell>
          <cell r="O154">
            <v>-126.0638</v>
          </cell>
          <cell r="P154">
            <v>-126</v>
          </cell>
          <cell r="Q154">
            <v>0</v>
          </cell>
          <cell r="R154">
            <v>-619</v>
          </cell>
          <cell r="S154">
            <v>-594.82560000000012</v>
          </cell>
          <cell r="T154">
            <v>-334</v>
          </cell>
          <cell r="U154">
            <v>-148.4</v>
          </cell>
          <cell r="V154">
            <v>-1327</v>
          </cell>
          <cell r="W154">
            <v>-631</v>
          </cell>
          <cell r="Y154">
            <v>-7162.8944999999994</v>
          </cell>
        </row>
        <row r="155">
          <cell r="C155">
            <v>-95</v>
          </cell>
          <cell r="D155">
            <v>-0.61799999999999999</v>
          </cell>
          <cell r="E155">
            <v>-90</v>
          </cell>
          <cell r="F155">
            <v>-45</v>
          </cell>
          <cell r="G155">
            <v>-254</v>
          </cell>
          <cell r="H155">
            <v>-846</v>
          </cell>
          <cell r="I155">
            <v>-254.47359999999998</v>
          </cell>
          <cell r="J155">
            <v>-452</v>
          </cell>
          <cell r="K155">
            <v>-68</v>
          </cell>
          <cell r="L155">
            <v>-316</v>
          </cell>
          <cell r="M155">
            <v>-383</v>
          </cell>
          <cell r="N155">
            <v>-497.03509999999994</v>
          </cell>
          <cell r="O155">
            <v>-1.9018999999999995</v>
          </cell>
          <cell r="P155">
            <v>-106</v>
          </cell>
          <cell r="Q155">
            <v>-6837.8909999999996</v>
          </cell>
          <cell r="R155">
            <v>-1525</v>
          </cell>
          <cell r="S155">
            <v>-4944.2196999999996</v>
          </cell>
          <cell r="T155">
            <v>-2461</v>
          </cell>
          <cell r="U155">
            <v>-53.68</v>
          </cell>
          <cell r="V155">
            <v>-6188</v>
          </cell>
          <cell r="W155">
            <v>-1529</v>
          </cell>
          <cell r="Y155">
            <v>-26947.819299999999</v>
          </cell>
        </row>
        <row r="156">
          <cell r="C156">
            <v>-5418</v>
          </cell>
          <cell r="D156">
            <v>-1760.5130000000001</v>
          </cell>
          <cell r="E156">
            <v>-3096</v>
          </cell>
          <cell r="F156">
            <v>-3701</v>
          </cell>
          <cell r="G156">
            <v>-4928</v>
          </cell>
          <cell r="H156">
            <v>-17496</v>
          </cell>
          <cell r="I156">
            <v>-7403.2027999999991</v>
          </cell>
          <cell r="J156">
            <v>-5165</v>
          </cell>
          <cell r="K156">
            <v>-4549</v>
          </cell>
          <cell r="L156">
            <v>-19052</v>
          </cell>
          <cell r="M156">
            <v>-9766</v>
          </cell>
          <cell r="N156">
            <v>-5642.4515999999985</v>
          </cell>
          <cell r="O156">
            <v>-3411.9467</v>
          </cell>
          <cell r="P156">
            <v>-19416</v>
          </cell>
          <cell r="Q156">
            <v>-24803.156999999999</v>
          </cell>
          <cell r="R156">
            <v>-5012</v>
          </cell>
          <cell r="S156">
            <v>-14084.060099999999</v>
          </cell>
          <cell r="T156">
            <v>-23427</v>
          </cell>
          <cell r="U156">
            <v>-3468.33</v>
          </cell>
          <cell r="V156">
            <v>-29066</v>
          </cell>
          <cell r="W156">
            <v>-17184</v>
          </cell>
          <cell r="Y156">
            <v>-227849.6612</v>
          </cell>
        </row>
        <row r="157">
          <cell r="C157">
            <v>-10</v>
          </cell>
          <cell r="D157">
            <v>-0.30400000000008731</v>
          </cell>
          <cell r="E157">
            <v>-22</v>
          </cell>
          <cell r="F157">
            <v>-78</v>
          </cell>
          <cell r="G157">
            <v>0</v>
          </cell>
          <cell r="H157">
            <v>-14</v>
          </cell>
          <cell r="I157">
            <v>-181.87430000000313</v>
          </cell>
          <cell r="J157">
            <v>-106</v>
          </cell>
          <cell r="K157">
            <v>-62</v>
          </cell>
          <cell r="L157">
            <v>0</v>
          </cell>
          <cell r="M157">
            <v>-65</v>
          </cell>
          <cell r="N157">
            <v>-37.120500000000902</v>
          </cell>
          <cell r="O157">
            <v>-375.51849999999649</v>
          </cell>
          <cell r="P157">
            <v>-23</v>
          </cell>
          <cell r="Q157">
            <v>0</v>
          </cell>
          <cell r="R157">
            <v>0</v>
          </cell>
          <cell r="S157">
            <v>-340.13960000000225</v>
          </cell>
          <cell r="T157">
            <v>-16483</v>
          </cell>
          <cell r="U157">
            <v>-930.7</v>
          </cell>
          <cell r="V157">
            <v>-3078</v>
          </cell>
          <cell r="W157">
            <v>-18435</v>
          </cell>
          <cell r="Y157">
            <v>-40241.656900000002</v>
          </cell>
        </row>
        <row r="158">
          <cell r="A158" t="str">
            <v>Total Outsourced Service Expenses</v>
          </cell>
          <cell r="C158">
            <v>-9175</v>
          </cell>
          <cell r="D158">
            <v>-4833.3640000000005</v>
          </cell>
          <cell r="E158">
            <v>-5458</v>
          </cell>
          <cell r="F158">
            <v>-13425</v>
          </cell>
          <cell r="G158">
            <v>-11047</v>
          </cell>
          <cell r="H158">
            <v>-26035</v>
          </cell>
          <cell r="I158">
            <v>-13857.889200000001</v>
          </cell>
          <cell r="J158">
            <v>-8531</v>
          </cell>
          <cell r="K158">
            <v>-10510</v>
          </cell>
          <cell r="L158">
            <v>-24581</v>
          </cell>
          <cell r="M158">
            <v>-14759</v>
          </cell>
          <cell r="N158">
            <v>-12933.032299999999</v>
          </cell>
          <cell r="O158">
            <v>-13960.036199999999</v>
          </cell>
          <cell r="P158">
            <v>-22893</v>
          </cell>
          <cell r="Q158">
            <v>-44063.06</v>
          </cell>
          <cell r="R158">
            <v>-21064</v>
          </cell>
          <cell r="S158">
            <v>-29575.452600000001</v>
          </cell>
          <cell r="T158">
            <v>-48860</v>
          </cell>
          <cell r="U158">
            <v>-6225.46</v>
          </cell>
          <cell r="V158">
            <v>-48138</v>
          </cell>
          <cell r="W158">
            <v>-49672</v>
          </cell>
          <cell r="Y158">
            <v>-439596.29430000001</v>
          </cell>
        </row>
        <row r="160">
          <cell r="C160">
            <v>-56919</v>
          </cell>
          <cell r="D160">
            <v>-53170.792000000009</v>
          </cell>
          <cell r="E160">
            <v>-38182</v>
          </cell>
          <cell r="F160">
            <v>-60207</v>
          </cell>
          <cell r="G160">
            <v>-72630</v>
          </cell>
          <cell r="H160">
            <v>-198967</v>
          </cell>
          <cell r="I160">
            <v>-159923.3383</v>
          </cell>
          <cell r="J160">
            <v>-143350</v>
          </cell>
          <cell r="K160">
            <v>-92278</v>
          </cell>
          <cell r="L160">
            <v>-176060</v>
          </cell>
          <cell r="M160">
            <v>-152775</v>
          </cell>
          <cell r="N160">
            <v>-156854.0288</v>
          </cell>
          <cell r="O160">
            <v>-93775.205999999991</v>
          </cell>
          <cell r="P160">
            <v>-114300</v>
          </cell>
          <cell r="Q160">
            <v>-779438.68099999998</v>
          </cell>
          <cell r="R160">
            <v>-514037</v>
          </cell>
          <cell r="S160">
            <v>-348295.11870000005</v>
          </cell>
          <cell r="T160">
            <v>-435777</v>
          </cell>
          <cell r="U160">
            <v>-192176.06</v>
          </cell>
          <cell r="V160">
            <v>-424711</v>
          </cell>
          <cell r="W160">
            <v>-459680</v>
          </cell>
          <cell r="Y160">
            <v>-4723506.2248</v>
          </cell>
        </row>
        <row r="162">
          <cell r="C162">
            <v>-156</v>
          </cell>
          <cell r="D162">
            <v>-3190.2289999999994</v>
          </cell>
          <cell r="E162">
            <v>-2734</v>
          </cell>
          <cell r="F162">
            <v>-1161</v>
          </cell>
          <cell r="G162">
            <v>-3846</v>
          </cell>
          <cell r="H162">
            <v>-13874</v>
          </cell>
          <cell r="I162">
            <v>-8728.5438000000013</v>
          </cell>
          <cell r="J162">
            <v>-7955</v>
          </cell>
          <cell r="K162">
            <v>-7521</v>
          </cell>
          <cell r="L162">
            <v>-13783</v>
          </cell>
          <cell r="M162">
            <v>-10497</v>
          </cell>
          <cell r="N162">
            <v>-12561.173299999999</v>
          </cell>
          <cell r="O162">
            <v>-6658.3410999999996</v>
          </cell>
          <cell r="P162">
            <v>-7670</v>
          </cell>
          <cell r="Q162">
            <v>-72531.377000000008</v>
          </cell>
          <cell r="R162">
            <v>-42764</v>
          </cell>
          <cell r="S162">
            <v>-38914.583299999998</v>
          </cell>
          <cell r="T162">
            <v>-34137</v>
          </cell>
          <cell r="U162">
            <v>-17540.38</v>
          </cell>
          <cell r="V162">
            <v>-39619</v>
          </cell>
          <cell r="W162">
            <v>-20752</v>
          </cell>
          <cell r="Y162">
            <v>-366593.6275</v>
          </cell>
        </row>
        <row r="163">
          <cell r="C163">
            <v>-2939</v>
          </cell>
          <cell r="D163">
            <v>-405.82299999999998</v>
          </cell>
          <cell r="E163">
            <v>-215</v>
          </cell>
          <cell r="F163">
            <v>-54</v>
          </cell>
          <cell r="G163">
            <v>-499</v>
          </cell>
          <cell r="H163">
            <v>-1714</v>
          </cell>
          <cell r="I163">
            <v>-2775.2575999999995</v>
          </cell>
          <cell r="J163">
            <v>-1892</v>
          </cell>
          <cell r="K163">
            <v>-452</v>
          </cell>
          <cell r="L163">
            <v>-1037</v>
          </cell>
          <cell r="M163">
            <v>-633</v>
          </cell>
          <cell r="N163">
            <v>-2003.8806</v>
          </cell>
          <cell r="O163">
            <v>-280.1748</v>
          </cell>
          <cell r="P163">
            <v>-1248</v>
          </cell>
          <cell r="Q163">
            <v>-36359.180999999997</v>
          </cell>
          <cell r="R163">
            <v>-11926</v>
          </cell>
          <cell r="S163">
            <v>-7214.9792999999991</v>
          </cell>
          <cell r="T163">
            <v>-5660</v>
          </cell>
          <cell r="U163">
            <v>-1259.73</v>
          </cell>
          <cell r="V163">
            <v>-9354</v>
          </cell>
          <cell r="W163">
            <v>-4091</v>
          </cell>
          <cell r="Y163">
            <v>-92013.026299999983</v>
          </cell>
        </row>
        <row r="164">
          <cell r="C164">
            <v>-1784</v>
          </cell>
          <cell r="D164">
            <v>-1953.1080000000002</v>
          </cell>
          <cell r="E164">
            <v>-2152</v>
          </cell>
          <cell r="F164">
            <v>-1486</v>
          </cell>
          <cell r="G164">
            <v>-2696</v>
          </cell>
          <cell r="H164">
            <v>-9006</v>
          </cell>
          <cell r="I164">
            <v>-4108.8546999999999</v>
          </cell>
          <cell r="J164">
            <v>-4929</v>
          </cell>
          <cell r="K164">
            <v>-4149</v>
          </cell>
          <cell r="L164">
            <v>-7806</v>
          </cell>
          <cell r="M164">
            <v>-4690</v>
          </cell>
          <cell r="N164">
            <v>-5830.1990000000005</v>
          </cell>
          <cell r="O164">
            <v>-4086.1862000000001</v>
          </cell>
          <cell r="P164">
            <v>-1872</v>
          </cell>
          <cell r="Q164">
            <v>-11120.710999999999</v>
          </cell>
          <cell r="R164">
            <v>-7608</v>
          </cell>
          <cell r="S164">
            <v>-18704.353700000003</v>
          </cell>
          <cell r="T164">
            <v>-16129</v>
          </cell>
          <cell r="U164">
            <v>-10189.219999999999</v>
          </cell>
          <cell r="V164">
            <v>-21581</v>
          </cell>
          <cell r="W164">
            <v>-13291</v>
          </cell>
          <cell r="Y164">
            <v>-155171.63260000001</v>
          </cell>
        </row>
        <row r="165">
          <cell r="C165">
            <v>-632</v>
          </cell>
          <cell r="D165">
            <v>-274.428</v>
          </cell>
          <cell r="E165">
            <v>-364</v>
          </cell>
          <cell r="F165">
            <v>-374</v>
          </cell>
          <cell r="G165">
            <v>-817</v>
          </cell>
          <cell r="H165">
            <v>-1329</v>
          </cell>
          <cell r="I165">
            <v>-1183.5092999999999</v>
          </cell>
          <cell r="J165">
            <v>-837</v>
          </cell>
          <cell r="K165">
            <v>-865</v>
          </cell>
          <cell r="L165">
            <v>-1885</v>
          </cell>
          <cell r="M165">
            <v>-1402</v>
          </cell>
          <cell r="N165">
            <v>-867.37090000000001</v>
          </cell>
          <cell r="O165">
            <v>-659.04280000000006</v>
          </cell>
          <cell r="P165">
            <v>-1069</v>
          </cell>
          <cell r="Q165">
            <v>-1649.4439999999997</v>
          </cell>
          <cell r="R165">
            <v>-2531</v>
          </cell>
          <cell r="S165">
            <v>-4976.8269</v>
          </cell>
          <cell r="T165">
            <v>-2521</v>
          </cell>
          <cell r="U165">
            <v>-1643.15</v>
          </cell>
          <cell r="V165">
            <v>-2611</v>
          </cell>
          <cell r="W165">
            <v>-3792</v>
          </cell>
          <cell r="Y165">
            <v>-32282.7719</v>
          </cell>
        </row>
        <row r="166">
          <cell r="C166">
            <v>-1867</v>
          </cell>
          <cell r="D166">
            <v>-1275.5310000000002</v>
          </cell>
          <cell r="E166">
            <v>-1310</v>
          </cell>
          <cell r="F166">
            <v>-733</v>
          </cell>
          <cell r="G166">
            <v>-1700</v>
          </cell>
          <cell r="H166">
            <v>-5947</v>
          </cell>
          <cell r="I166">
            <v>-4322.4543000000003</v>
          </cell>
          <cell r="J166">
            <v>-2690</v>
          </cell>
          <cell r="K166">
            <v>-1725</v>
          </cell>
          <cell r="L166">
            <v>-1764</v>
          </cell>
          <cell r="M166">
            <v>-4634</v>
          </cell>
          <cell r="N166">
            <v>-3661.5443</v>
          </cell>
          <cell r="O166">
            <v>-2115.1037000000001</v>
          </cell>
          <cell r="P166">
            <v>-2730</v>
          </cell>
          <cell r="Q166">
            <v>-23278.204999999998</v>
          </cell>
          <cell r="R166">
            <v>-13498</v>
          </cell>
          <cell r="S166">
            <v>-11538.574900000001</v>
          </cell>
          <cell r="T166">
            <v>-12808</v>
          </cell>
          <cell r="U166">
            <v>-6888.35</v>
          </cell>
          <cell r="V166">
            <v>-13716</v>
          </cell>
          <cell r="W166">
            <v>-8523</v>
          </cell>
          <cell r="Y166">
            <v>-126724.76320000002</v>
          </cell>
        </row>
        <row r="167">
          <cell r="C167">
            <v>-2964</v>
          </cell>
          <cell r="D167">
            <v>-2595.1569999999997</v>
          </cell>
          <cell r="E167">
            <v>-869</v>
          </cell>
          <cell r="F167">
            <v>-1586</v>
          </cell>
          <cell r="G167">
            <v>-2910</v>
          </cell>
          <cell r="H167">
            <v>-9661</v>
          </cell>
          <cell r="I167">
            <v>-7763.7106999999996</v>
          </cell>
          <cell r="J167">
            <v>-3383</v>
          </cell>
          <cell r="K167">
            <v>-4200</v>
          </cell>
          <cell r="L167">
            <v>-10792</v>
          </cell>
          <cell r="M167">
            <v>-6129</v>
          </cell>
          <cell r="N167">
            <v>-3986.0103999999997</v>
          </cell>
          <cell r="O167">
            <v>-5989.2944000000007</v>
          </cell>
          <cell r="P167">
            <v>-4169</v>
          </cell>
          <cell r="Q167">
            <v>-42483.862000000001</v>
          </cell>
          <cell r="R167">
            <v>-18233</v>
          </cell>
          <cell r="S167">
            <v>-17188.738300000001</v>
          </cell>
          <cell r="T167">
            <v>-12105</v>
          </cell>
          <cell r="U167">
            <v>-13309.61</v>
          </cell>
          <cell r="V167">
            <v>-21324</v>
          </cell>
          <cell r="W167">
            <v>-14565</v>
          </cell>
          <cell r="Y167">
            <v>-206206.38280000002</v>
          </cell>
        </row>
        <row r="168">
          <cell r="C168">
            <v>-416</v>
          </cell>
          <cell r="D168">
            <v>-2025.3979999999999</v>
          </cell>
          <cell r="E168">
            <v>-830</v>
          </cell>
          <cell r="F168">
            <v>-1112</v>
          </cell>
          <cell r="G168">
            <v>-1507</v>
          </cell>
          <cell r="H168">
            <v>-1730</v>
          </cell>
          <cell r="I168">
            <v>-6557.3802999999989</v>
          </cell>
          <cell r="J168">
            <v>-2299</v>
          </cell>
          <cell r="K168">
            <v>-863</v>
          </cell>
          <cell r="L168">
            <v>-2834</v>
          </cell>
          <cell r="M168">
            <v>-3720</v>
          </cell>
          <cell r="N168">
            <v>-6711.5611000000008</v>
          </cell>
          <cell r="O168">
            <v>-1720.7234999999998</v>
          </cell>
          <cell r="P168">
            <v>-2651</v>
          </cell>
          <cell r="Q168">
            <v>-6190.5350000000017</v>
          </cell>
          <cell r="R168">
            <v>-9643</v>
          </cell>
          <cell r="S168">
            <v>-3085.8444</v>
          </cell>
          <cell r="T168">
            <v>-4098</v>
          </cell>
          <cell r="U168">
            <v>-1471.4</v>
          </cell>
          <cell r="V168">
            <v>-2614</v>
          </cell>
          <cell r="W168">
            <v>-4805</v>
          </cell>
          <cell r="Y168">
            <v>-66884.842300000004</v>
          </cell>
        </row>
        <row r="169">
          <cell r="C169">
            <v>-10758</v>
          </cell>
          <cell r="D169">
            <v>-11719.673999999999</v>
          </cell>
          <cell r="E169">
            <v>-8474</v>
          </cell>
          <cell r="F169">
            <v>-6506</v>
          </cell>
          <cell r="G169">
            <v>-13975</v>
          </cell>
          <cell r="H169">
            <v>-43261</v>
          </cell>
          <cell r="I169">
            <v>-35439.710700000003</v>
          </cell>
          <cell r="J169">
            <v>-23985</v>
          </cell>
          <cell r="K169">
            <v>-19775</v>
          </cell>
          <cell r="L169">
            <v>-39901</v>
          </cell>
          <cell r="M169">
            <v>-31705</v>
          </cell>
          <cell r="N169">
            <v>-35621.739600000001</v>
          </cell>
          <cell r="O169">
            <v>-21508.866499999996</v>
          </cell>
          <cell r="P169">
            <v>-21409</v>
          </cell>
          <cell r="Q169">
            <v>-193613.31499999997</v>
          </cell>
          <cell r="R169">
            <v>-106203</v>
          </cell>
          <cell r="S169">
            <v>-101623.9008</v>
          </cell>
          <cell r="T169">
            <v>-87458</v>
          </cell>
          <cell r="U169">
            <v>-52301.84</v>
          </cell>
          <cell r="V169">
            <v>-110819</v>
          </cell>
          <cell r="W169">
            <v>-77919</v>
          </cell>
          <cell r="Y169">
            <v>-1053977.0466</v>
          </cell>
        </row>
        <row r="171">
          <cell r="C171">
            <v>-2421</v>
          </cell>
          <cell r="D171">
            <v>-2446.143</v>
          </cell>
          <cell r="E171">
            <v>-2123</v>
          </cell>
          <cell r="F171">
            <v>-3425</v>
          </cell>
          <cell r="G171">
            <v>-3682</v>
          </cell>
          <cell r="H171">
            <v>-8545</v>
          </cell>
          <cell r="I171">
            <v>-6603.0923000000012</v>
          </cell>
          <cell r="J171">
            <v>-4365</v>
          </cell>
          <cell r="K171">
            <v>-4472</v>
          </cell>
          <cell r="L171">
            <v>-10426</v>
          </cell>
          <cell r="M171">
            <v>-7016</v>
          </cell>
          <cell r="N171">
            <v>-4675.1623</v>
          </cell>
          <cell r="O171">
            <v>-4363.1401999999998</v>
          </cell>
          <cell r="P171">
            <v>-3053</v>
          </cell>
          <cell r="Q171">
            <v>-30090.05</v>
          </cell>
          <cell r="R171">
            <v>-16292</v>
          </cell>
          <cell r="S171">
            <v>-13114.223599999999</v>
          </cell>
          <cell r="T171">
            <v>-18309</v>
          </cell>
          <cell r="U171">
            <v>-8581.7099999999991</v>
          </cell>
          <cell r="V171">
            <v>-14340</v>
          </cell>
          <cell r="W171">
            <v>-20845</v>
          </cell>
          <cell r="Y171">
            <v>-189187.5214</v>
          </cell>
        </row>
        <row r="172">
          <cell r="C172">
            <v>-3236</v>
          </cell>
          <cell r="D172">
            <v>-3967.88</v>
          </cell>
          <cell r="E172">
            <v>-2804</v>
          </cell>
          <cell r="F172">
            <v>-5518</v>
          </cell>
          <cell r="G172">
            <v>-5668</v>
          </cell>
          <cell r="H172">
            <v>-16033</v>
          </cell>
          <cell r="I172">
            <v>-15892.899000000001</v>
          </cell>
          <cell r="J172">
            <v>-8440</v>
          </cell>
          <cell r="K172">
            <v>-4708</v>
          </cell>
          <cell r="L172">
            <v>-15493</v>
          </cell>
          <cell r="M172">
            <v>-9588</v>
          </cell>
          <cell r="N172">
            <v>-10660.700199999999</v>
          </cell>
          <cell r="O172">
            <v>-7918.2957999999999</v>
          </cell>
          <cell r="P172">
            <v>-8833</v>
          </cell>
          <cell r="Q172">
            <v>-46718.22</v>
          </cell>
          <cell r="R172">
            <v>-15288</v>
          </cell>
          <cell r="S172">
            <v>-25603.994899999998</v>
          </cell>
          <cell r="T172">
            <v>-25064</v>
          </cell>
          <cell r="U172">
            <v>-13293.35</v>
          </cell>
          <cell r="V172">
            <v>-29781</v>
          </cell>
          <cell r="W172">
            <v>-25372</v>
          </cell>
          <cell r="Y172">
            <v>-299881.33990000002</v>
          </cell>
        </row>
        <row r="173">
          <cell r="C173">
            <v>-1253</v>
          </cell>
          <cell r="D173">
            <v>-843.87600000000009</v>
          </cell>
          <cell r="E173">
            <v>-711</v>
          </cell>
          <cell r="F173">
            <v>-1498</v>
          </cell>
          <cell r="G173">
            <v>-897</v>
          </cell>
          <cell r="H173">
            <v>-2505</v>
          </cell>
          <cell r="I173">
            <v>-2011.3893</v>
          </cell>
          <cell r="J173">
            <v>-1499</v>
          </cell>
          <cell r="K173">
            <v>-913</v>
          </cell>
          <cell r="L173">
            <v>-3191</v>
          </cell>
          <cell r="M173">
            <v>-2320</v>
          </cell>
          <cell r="N173">
            <v>-3145.4964999999997</v>
          </cell>
          <cell r="O173">
            <v>-1219.0808999999999</v>
          </cell>
          <cell r="P173">
            <v>-1598</v>
          </cell>
          <cell r="Q173">
            <v>-9899.3079999999991</v>
          </cell>
          <cell r="R173">
            <v>-1344</v>
          </cell>
          <cell r="S173">
            <v>-3318.8668999999995</v>
          </cell>
          <cell r="T173">
            <v>-3759</v>
          </cell>
          <cell r="U173">
            <v>-2314.9</v>
          </cell>
          <cell r="V173">
            <v>-5352</v>
          </cell>
          <cell r="W173">
            <v>-4144</v>
          </cell>
          <cell r="Y173">
            <v>-53736.917600000001</v>
          </cell>
        </row>
        <row r="174">
          <cell r="C174">
            <v>-992</v>
          </cell>
          <cell r="D174">
            <v>-1710.7049999999999</v>
          </cell>
          <cell r="E174">
            <v>-1287</v>
          </cell>
          <cell r="F174">
            <v>-2099</v>
          </cell>
          <cell r="G174">
            <v>-2974</v>
          </cell>
          <cell r="H174">
            <v>-5652</v>
          </cell>
          <cell r="I174">
            <v>-6220.5466999999999</v>
          </cell>
          <cell r="J174">
            <v>-3890</v>
          </cell>
          <cell r="K174">
            <v>-2933</v>
          </cell>
          <cell r="L174">
            <v>-6028</v>
          </cell>
          <cell r="M174">
            <v>-4935</v>
          </cell>
          <cell r="N174">
            <v>-5876.7623999999996</v>
          </cell>
          <cell r="O174">
            <v>-2761.3553999999999</v>
          </cell>
          <cell r="P174">
            <v>-6614</v>
          </cell>
          <cell r="Q174">
            <v>-11901.949000000001</v>
          </cell>
          <cell r="R174">
            <v>-9915</v>
          </cell>
          <cell r="S174">
            <v>-17688.584999999999</v>
          </cell>
          <cell r="T174">
            <v>-5087</v>
          </cell>
          <cell r="U174">
            <v>-7000.29</v>
          </cell>
          <cell r="V174">
            <v>-14273</v>
          </cell>
          <cell r="W174">
            <v>-8697</v>
          </cell>
          <cell r="Y174">
            <v>-128536.19349999998</v>
          </cell>
        </row>
        <row r="175">
          <cell r="C175">
            <v>-1344</v>
          </cell>
          <cell r="D175">
            <v>-2425.3110000000001</v>
          </cell>
          <cell r="E175">
            <v>-1983</v>
          </cell>
          <cell r="F175">
            <v>-1150</v>
          </cell>
          <cell r="G175">
            <v>-4418</v>
          </cell>
          <cell r="H175">
            <v>-7910</v>
          </cell>
          <cell r="I175">
            <v>-5209.0057999999999</v>
          </cell>
          <cell r="J175">
            <v>-6770</v>
          </cell>
          <cell r="K175">
            <v>-2647</v>
          </cell>
          <cell r="L175">
            <v>-8249</v>
          </cell>
          <cell r="M175">
            <v>-7793</v>
          </cell>
          <cell r="N175">
            <v>-5704.474799999999</v>
          </cell>
          <cell r="O175">
            <v>-4170.7172999999993</v>
          </cell>
          <cell r="P175">
            <v>-7793</v>
          </cell>
          <cell r="Q175">
            <v>-60707.153000000006</v>
          </cell>
          <cell r="R175">
            <v>-22489</v>
          </cell>
          <cell r="S175">
            <v>-19016.066099999996</v>
          </cell>
          <cell r="T175">
            <v>-22218</v>
          </cell>
          <cell r="U175">
            <v>-9073.17</v>
          </cell>
          <cell r="V175">
            <v>-15076</v>
          </cell>
          <cell r="W175">
            <v>-25922</v>
          </cell>
          <cell r="Y175">
            <v>-242067.89800000002</v>
          </cell>
        </row>
        <row r="176">
          <cell r="C176">
            <v>-430</v>
          </cell>
          <cell r="D176">
            <v>-312.49700000000001</v>
          </cell>
          <cell r="E176">
            <v>-665</v>
          </cell>
          <cell r="F176">
            <v>-592</v>
          </cell>
          <cell r="G176">
            <v>-1185</v>
          </cell>
          <cell r="H176">
            <v>-1940</v>
          </cell>
          <cell r="I176">
            <v>-1815.5655999999999</v>
          </cell>
          <cell r="J176">
            <v>-1419</v>
          </cell>
          <cell r="K176">
            <v>-1410</v>
          </cell>
          <cell r="L176">
            <v>-1280</v>
          </cell>
          <cell r="M176">
            <v>-2098</v>
          </cell>
          <cell r="N176">
            <v>-2254.8771999999999</v>
          </cell>
          <cell r="O176">
            <v>-792.61620000000005</v>
          </cell>
          <cell r="P176">
            <v>-1338</v>
          </cell>
          <cell r="Q176">
            <v>-4603.8610000000008</v>
          </cell>
          <cell r="R176">
            <v>-3549</v>
          </cell>
          <cell r="S176">
            <v>-4220.2628000000004</v>
          </cell>
          <cell r="T176">
            <v>-6361</v>
          </cell>
          <cell r="U176">
            <v>-1212.98</v>
          </cell>
          <cell r="V176">
            <v>-8430</v>
          </cell>
          <cell r="W176">
            <v>-3308</v>
          </cell>
          <cell r="Y176">
            <v>-49217.659800000001</v>
          </cell>
        </row>
        <row r="177">
          <cell r="C177">
            <v>-1623</v>
          </cell>
          <cell r="D177">
            <v>-1564.1189999999997</v>
          </cell>
          <cell r="E177">
            <v>-3188</v>
          </cell>
          <cell r="F177">
            <v>-2115</v>
          </cell>
          <cell r="G177">
            <v>-2611</v>
          </cell>
          <cell r="H177">
            <v>-1961</v>
          </cell>
          <cell r="I177">
            <v>-3169.7028999999998</v>
          </cell>
          <cell r="J177">
            <v>-3791</v>
          </cell>
          <cell r="K177">
            <v>-2398</v>
          </cell>
          <cell r="L177">
            <v>-18114</v>
          </cell>
          <cell r="M177">
            <v>-4277</v>
          </cell>
          <cell r="N177">
            <v>-3631.9738000000002</v>
          </cell>
          <cell r="O177">
            <v>-1393.2803999999999</v>
          </cell>
          <cell r="P177">
            <v>-1573</v>
          </cell>
          <cell r="Q177">
            <v>-46573.173999999999</v>
          </cell>
          <cell r="R177">
            <v>-71473</v>
          </cell>
          <cell r="S177">
            <v>-8843.9817999999996</v>
          </cell>
          <cell r="T177">
            <v>-14892</v>
          </cell>
          <cell r="U177">
            <v>-2904.02</v>
          </cell>
          <cell r="V177">
            <v>-15633</v>
          </cell>
          <cell r="W177">
            <v>-8393</v>
          </cell>
          <cell r="Y177">
            <v>-220122.2519</v>
          </cell>
        </row>
        <row r="178">
          <cell r="C178">
            <v>-2</v>
          </cell>
          <cell r="D178">
            <v>0</v>
          </cell>
          <cell r="E178">
            <v>0</v>
          </cell>
          <cell r="F178">
            <v>-46</v>
          </cell>
          <cell r="G178">
            <v>0</v>
          </cell>
          <cell r="H178">
            <v>0</v>
          </cell>
          <cell r="I178">
            <v>-0.12</v>
          </cell>
          <cell r="J178">
            <v>-92</v>
          </cell>
          <cell r="K178">
            <v>-66</v>
          </cell>
          <cell r="L178">
            <v>1</v>
          </cell>
          <cell r="M178">
            <v>-34</v>
          </cell>
          <cell r="N178">
            <v>-1.6899999999999998E-2</v>
          </cell>
          <cell r="O178">
            <v>-4.4399999999999995E-2</v>
          </cell>
          <cell r="P178">
            <v>0</v>
          </cell>
          <cell r="Q178">
            <v>-0.5</v>
          </cell>
          <cell r="R178">
            <v>-19</v>
          </cell>
          <cell r="S178">
            <v>-453.26079999999996</v>
          </cell>
          <cell r="T178">
            <v>0</v>
          </cell>
          <cell r="U178">
            <v>0</v>
          </cell>
          <cell r="V178">
            <v>-7</v>
          </cell>
          <cell r="W178">
            <v>-5</v>
          </cell>
          <cell r="Y178">
            <v>-723.94209999999998</v>
          </cell>
        </row>
        <row r="179">
          <cell r="C179">
            <v>0</v>
          </cell>
          <cell r="D179">
            <v>299.12199999999996</v>
          </cell>
          <cell r="E179">
            <v>0</v>
          </cell>
          <cell r="F179">
            <v>0</v>
          </cell>
          <cell r="G179">
            <v>0</v>
          </cell>
          <cell r="H179">
            <v>0</v>
          </cell>
          <cell r="I179">
            <v>0</v>
          </cell>
          <cell r="J179">
            <v>0</v>
          </cell>
          <cell r="K179">
            <v>385</v>
          </cell>
          <cell r="L179">
            <v>0</v>
          </cell>
          <cell r="M179">
            <v>0</v>
          </cell>
          <cell r="N179">
            <v>0</v>
          </cell>
          <cell r="O179">
            <v>0</v>
          </cell>
          <cell r="P179">
            <v>-123</v>
          </cell>
          <cell r="Q179">
            <v>0</v>
          </cell>
          <cell r="R179">
            <v>0</v>
          </cell>
          <cell r="S179">
            <v>0</v>
          </cell>
          <cell r="T179">
            <v>0</v>
          </cell>
          <cell r="U179">
            <v>0</v>
          </cell>
          <cell r="V179">
            <v>0</v>
          </cell>
          <cell r="W179">
            <v>0</v>
          </cell>
          <cell r="Y179">
            <v>561.12199999999996</v>
          </cell>
        </row>
        <row r="180">
          <cell r="C180">
            <v>-11301</v>
          </cell>
          <cell r="D180">
            <v>-12971.409</v>
          </cell>
          <cell r="E180">
            <v>-12761</v>
          </cell>
          <cell r="F180">
            <v>-16443</v>
          </cell>
          <cell r="G180">
            <v>-21435</v>
          </cell>
          <cell r="H180">
            <v>-44546</v>
          </cell>
          <cell r="I180">
            <v>-40922.321600000003</v>
          </cell>
          <cell r="J180">
            <v>-30266</v>
          </cell>
          <cell r="K180">
            <v>-19162</v>
          </cell>
          <cell r="L180">
            <v>-62780</v>
          </cell>
          <cell r="M180">
            <v>-37251</v>
          </cell>
          <cell r="N180">
            <v>-35949.464099999997</v>
          </cell>
          <cell r="O180">
            <v>-22618.530600000002</v>
          </cell>
          <cell r="P180">
            <v>-30925</v>
          </cell>
          <cell r="Q180">
            <v>-210494.215</v>
          </cell>
          <cell r="R180">
            <v>-140369</v>
          </cell>
          <cell r="S180">
            <v>-92259.241899999994</v>
          </cell>
          <cell r="T180">
            <v>-95690</v>
          </cell>
          <cell r="U180">
            <v>-44380.42</v>
          </cell>
          <cell r="V180">
            <v>-102892</v>
          </cell>
          <cell r="W180">
            <v>-96686</v>
          </cell>
          <cell r="Y180">
            <v>-1182102.6022000001</v>
          </cell>
        </row>
        <row r="182">
          <cell r="C182">
            <v>602</v>
          </cell>
          <cell r="D182">
            <v>0</v>
          </cell>
          <cell r="E182">
            <v>0</v>
          </cell>
          <cell r="F182">
            <v>-960</v>
          </cell>
          <cell r="G182">
            <v>-486</v>
          </cell>
          <cell r="H182">
            <v>-1057</v>
          </cell>
          <cell r="I182">
            <v>5.5511151231257827E-17</v>
          </cell>
          <cell r="J182">
            <v>551</v>
          </cell>
          <cell r="K182">
            <v>-798</v>
          </cell>
          <cell r="L182">
            <v>-9323</v>
          </cell>
          <cell r="M182">
            <v>702</v>
          </cell>
          <cell r="N182">
            <v>321.03729999999996</v>
          </cell>
          <cell r="O182">
            <v>0</v>
          </cell>
          <cell r="P182">
            <v>5</v>
          </cell>
          <cell r="Q182">
            <v>84.162000000000006</v>
          </cell>
          <cell r="R182">
            <v>-4454</v>
          </cell>
          <cell r="S182">
            <v>18469.350699999999</v>
          </cell>
          <cell r="T182">
            <v>0</v>
          </cell>
          <cell r="U182">
            <v>0</v>
          </cell>
          <cell r="V182">
            <v>1637</v>
          </cell>
          <cell r="W182">
            <v>-1573</v>
          </cell>
          <cell r="Y182">
            <v>3720.5499999999993</v>
          </cell>
        </row>
        <row r="183">
          <cell r="C183">
            <v>-21457</v>
          </cell>
          <cell r="D183">
            <v>-24691.082999999999</v>
          </cell>
          <cell r="E183">
            <v>-21235</v>
          </cell>
          <cell r="F183">
            <v>-23909</v>
          </cell>
          <cell r="G183">
            <v>-35896</v>
          </cell>
          <cell r="H183">
            <v>-88864</v>
          </cell>
          <cell r="I183">
            <v>-76362.032300000006</v>
          </cell>
          <cell r="J183">
            <v>-53700</v>
          </cell>
          <cell r="K183">
            <v>-39735</v>
          </cell>
          <cell r="L183">
            <v>-112004</v>
          </cell>
          <cell r="M183">
            <v>-68254</v>
          </cell>
          <cell r="N183">
            <v>-71250.166400000002</v>
          </cell>
          <cell r="O183">
            <v>-44127.397100000002</v>
          </cell>
          <cell r="P183">
            <v>-52329</v>
          </cell>
          <cell r="Q183">
            <v>-404023.36799999996</v>
          </cell>
          <cell r="R183">
            <v>-251026</v>
          </cell>
          <cell r="S183">
            <v>-175413.79199999999</v>
          </cell>
          <cell r="T183">
            <v>-183148</v>
          </cell>
          <cell r="U183">
            <v>-96682.26</v>
          </cell>
          <cell r="V183">
            <v>-212074</v>
          </cell>
          <cell r="W183">
            <v>-168078</v>
          </cell>
          <cell r="Y183">
            <v>-2224259.0987999998</v>
          </cell>
        </row>
        <row r="184">
          <cell r="A184" t="str">
            <v>Total Expenses</v>
          </cell>
          <cell r="C184">
            <v>-78376</v>
          </cell>
          <cell r="D184">
            <v>-77861.875</v>
          </cell>
          <cell r="E184">
            <v>-59417</v>
          </cell>
          <cell r="F184">
            <v>-84116</v>
          </cell>
          <cell r="G184">
            <v>-108526</v>
          </cell>
          <cell r="H184">
            <v>-287831</v>
          </cell>
          <cell r="I184">
            <v>-236285.37060000002</v>
          </cell>
          <cell r="J184">
            <v>-197050</v>
          </cell>
          <cell r="K184">
            <v>-132013</v>
          </cell>
          <cell r="L184">
            <v>-288064</v>
          </cell>
          <cell r="M184">
            <v>-221029</v>
          </cell>
          <cell r="N184">
            <v>-228104.19520000002</v>
          </cell>
          <cell r="O184">
            <v>-137902.60310000001</v>
          </cell>
          <cell r="P184">
            <v>-166629</v>
          </cell>
          <cell r="Q184">
            <v>-1102462.0490000001</v>
          </cell>
          <cell r="R184">
            <v>-765063</v>
          </cell>
          <cell r="S184">
            <v>-523708.91070000001</v>
          </cell>
          <cell r="T184">
            <v>-618925</v>
          </cell>
          <cell r="U184">
            <v>-288858.32</v>
          </cell>
          <cell r="V184">
            <v>-636785</v>
          </cell>
          <cell r="W184">
            <v>-627758</v>
          </cell>
          <cell r="Y184">
            <v>-6866765.3236000007</v>
          </cell>
        </row>
        <row r="185">
          <cell r="C185">
            <v>-2562.5</v>
          </cell>
          <cell r="D185">
            <v>-3678.3100000000122</v>
          </cell>
          <cell r="E185">
            <v>-3119</v>
          </cell>
          <cell r="F185">
            <v>-16128</v>
          </cell>
          <cell r="G185">
            <v>-10442</v>
          </cell>
          <cell r="H185">
            <v>700</v>
          </cell>
          <cell r="I185">
            <v>-6499.2558999999892</v>
          </cell>
          <cell r="J185">
            <v>-5463</v>
          </cell>
          <cell r="K185">
            <v>-1906</v>
          </cell>
          <cell r="L185">
            <v>-10307</v>
          </cell>
          <cell r="M185">
            <v>-3885</v>
          </cell>
          <cell r="N185">
            <v>-5007.060300000041</v>
          </cell>
          <cell r="O185">
            <v>-9764.0432000000146</v>
          </cell>
          <cell r="P185">
            <v>-7824</v>
          </cell>
          <cell r="Q185">
            <v>-25745.405000000028</v>
          </cell>
          <cell r="R185">
            <v>-9661</v>
          </cell>
          <cell r="S185">
            <v>-47981.140199999907</v>
          </cell>
          <cell r="T185">
            <v>-378</v>
          </cell>
          <cell r="U185">
            <v>744.875</v>
          </cell>
          <cell r="V185">
            <v>-30902</v>
          </cell>
          <cell r="W185">
            <v>-18432</v>
          </cell>
          <cell r="Y185">
            <v>-218239.83960000001</v>
          </cell>
        </row>
        <row r="187">
          <cell r="C187">
            <v>-2429</v>
          </cell>
          <cell r="D187">
            <v>-3283.7089999999998</v>
          </cell>
          <cell r="E187">
            <v>-1899</v>
          </cell>
          <cell r="F187">
            <v>-4732</v>
          </cell>
          <cell r="G187">
            <v>-4648</v>
          </cell>
          <cell r="H187">
            <v>-12590</v>
          </cell>
          <cell r="I187">
            <v>-10719.416000000001</v>
          </cell>
          <cell r="J187">
            <v>-7744</v>
          </cell>
          <cell r="K187">
            <v>-6383</v>
          </cell>
          <cell r="L187">
            <v>-10074</v>
          </cell>
          <cell r="M187">
            <v>-10334</v>
          </cell>
          <cell r="N187">
            <v>-9257</v>
          </cell>
          <cell r="O187">
            <v>-5859.2855999999992</v>
          </cell>
          <cell r="P187">
            <v>-8343</v>
          </cell>
          <cell r="Q187">
            <v>-42810.712</v>
          </cell>
          <cell r="R187">
            <v>-45040</v>
          </cell>
          <cell r="S187">
            <v>-21552.3871</v>
          </cell>
          <cell r="T187">
            <v>-23346</v>
          </cell>
          <cell r="U187">
            <v>-13243.12</v>
          </cell>
          <cell r="V187">
            <v>-22742</v>
          </cell>
          <cell r="W187">
            <v>-22002</v>
          </cell>
          <cell r="Y187">
            <v>-289031.62969999999</v>
          </cell>
        </row>
        <row r="188">
          <cell r="C188">
            <v>0</v>
          </cell>
          <cell r="D188">
            <v>0</v>
          </cell>
          <cell r="E188">
            <v>-348</v>
          </cell>
          <cell r="F188">
            <v>-343</v>
          </cell>
          <cell r="G188">
            <v>-434</v>
          </cell>
          <cell r="H188">
            <v>-48</v>
          </cell>
          <cell r="I188">
            <v>-170.64359999999999</v>
          </cell>
          <cell r="J188">
            <v>-13</v>
          </cell>
          <cell r="K188">
            <v>-43</v>
          </cell>
          <cell r="L188">
            <v>-1</v>
          </cell>
          <cell r="M188">
            <v>-319</v>
          </cell>
          <cell r="N188">
            <v>0</v>
          </cell>
          <cell r="O188">
            <v>0</v>
          </cell>
          <cell r="P188">
            <v>0</v>
          </cell>
          <cell r="Q188">
            <v>-9945.0820000000003</v>
          </cell>
          <cell r="R188">
            <v>0</v>
          </cell>
          <cell r="S188">
            <v>-645.42900000000009</v>
          </cell>
          <cell r="T188">
            <v>-2056</v>
          </cell>
          <cell r="U188">
            <v>-5.0000000000000711E-2</v>
          </cell>
          <cell r="V188">
            <v>-27</v>
          </cell>
          <cell r="W188">
            <v>-1177</v>
          </cell>
          <cell r="Y188">
            <v>-15570.204599999999</v>
          </cell>
        </row>
        <row r="189">
          <cell r="C189">
            <v>-779</v>
          </cell>
          <cell r="D189">
            <v>-977.74299999999994</v>
          </cell>
          <cell r="E189">
            <v>-1610</v>
          </cell>
          <cell r="F189">
            <v>-868</v>
          </cell>
          <cell r="G189">
            <v>-2062</v>
          </cell>
          <cell r="H189">
            <v>-3987</v>
          </cell>
          <cell r="I189">
            <v>-2367.6108999999997</v>
          </cell>
          <cell r="J189">
            <v>-1238</v>
          </cell>
          <cell r="K189">
            <v>0</v>
          </cell>
          <cell r="L189">
            <v>-3475</v>
          </cell>
          <cell r="M189">
            <v>-2241</v>
          </cell>
          <cell r="N189">
            <v>-1697.95</v>
          </cell>
          <cell r="O189">
            <v>-3018.6305000000002</v>
          </cell>
          <cell r="P189">
            <v>-1999</v>
          </cell>
          <cell r="Q189">
            <v>-10936.058999999999</v>
          </cell>
          <cell r="R189">
            <v>-4779</v>
          </cell>
          <cell r="S189">
            <v>-13962.901</v>
          </cell>
          <cell r="T189">
            <v>-5775</v>
          </cell>
          <cell r="U189">
            <v>-2714.42</v>
          </cell>
          <cell r="V189">
            <v>-2622</v>
          </cell>
          <cell r="W189">
            <v>-11007</v>
          </cell>
          <cell r="Y189">
            <v>-78117.314400000003</v>
          </cell>
        </row>
        <row r="190">
          <cell r="C190">
            <v>-652</v>
          </cell>
          <cell r="D190">
            <v>-1433.933</v>
          </cell>
          <cell r="E190">
            <v>-685</v>
          </cell>
          <cell r="F190">
            <v>84</v>
          </cell>
          <cell r="G190">
            <v>-1882</v>
          </cell>
          <cell r="H190">
            <v>-3821</v>
          </cell>
          <cell r="I190">
            <v>-2427.5772000000002</v>
          </cell>
          <cell r="J190">
            <v>-5483</v>
          </cell>
          <cell r="K190">
            <v>-2566</v>
          </cell>
          <cell r="L190">
            <v>-4743</v>
          </cell>
          <cell r="M190">
            <v>-4378</v>
          </cell>
          <cell r="N190">
            <v>-3985.1869999999994</v>
          </cell>
          <cell r="O190">
            <v>-1137.4860000000001</v>
          </cell>
          <cell r="P190">
            <v>-5715</v>
          </cell>
          <cell r="Q190">
            <v>-39677.741999999998</v>
          </cell>
          <cell r="R190">
            <v>-17791</v>
          </cell>
          <cell r="S190">
            <v>-5914.6369999999988</v>
          </cell>
          <cell r="T190">
            <v>-14316</v>
          </cell>
          <cell r="U190">
            <v>-5761.62</v>
          </cell>
          <cell r="V190">
            <v>-12432</v>
          </cell>
          <cell r="W190">
            <v>-13442</v>
          </cell>
          <cell r="Y190">
            <v>-148160.18219999998</v>
          </cell>
        </row>
        <row r="267">
          <cell r="C267" t="str">
            <v>Small ($'000)</v>
          </cell>
        </row>
        <row r="268">
          <cell r="C268" t="str">
            <v>South Canterbury DHB</v>
          </cell>
          <cell r="D268" t="str">
            <v>Tairawhiti DHB</v>
          </cell>
          <cell r="E268" t="str">
            <v>Wairarapa DHB</v>
          </cell>
          <cell r="F268" t="str">
            <v>West Coast DHB</v>
          </cell>
          <cell r="G268" t="str">
            <v>Whanganui DHB</v>
          </cell>
          <cell r="H268" t="str">
            <v>Bay of Plenty DHB</v>
          </cell>
          <cell r="I268" t="str">
            <v>Hawke's Bay DHB</v>
          </cell>
          <cell r="J268" t="str">
            <v>Hutt Valley DHB</v>
          </cell>
          <cell r="K268" t="str">
            <v>Lakes DHB</v>
          </cell>
          <cell r="L268" t="str">
            <v>MidCentral DHB</v>
          </cell>
          <cell r="M268" t="str">
            <v>Nelson Marlborough DHB</v>
          </cell>
          <cell r="N268" t="str">
            <v>Northland DHB</v>
          </cell>
          <cell r="P268" t="str">
            <v>Taranaki DHB</v>
          </cell>
          <cell r="Q268" t="str">
            <v>Auckland DHB</v>
          </cell>
          <cell r="R268" t="str">
            <v>Canterbury DHB</v>
          </cell>
          <cell r="S268" t="str">
            <v>Capital &amp; Coast DHB</v>
          </cell>
          <cell r="T268" t="str">
            <v>Counties Manukau DHB</v>
          </cell>
          <cell r="U268" t="str">
            <v>Southern DHB</v>
          </cell>
          <cell r="V268" t="str">
            <v>Waikato DHB</v>
          </cell>
          <cell r="W268" t="str">
            <v>Waitemata DHB</v>
          </cell>
          <cell r="Y268" t="str">
            <v>All DHBs</v>
          </cell>
        </row>
        <row r="270">
          <cell r="C270">
            <v>79773</v>
          </cell>
          <cell r="D270">
            <v>81030.758999999991</v>
          </cell>
          <cell r="E270">
            <v>57365</v>
          </cell>
          <cell r="F270">
            <v>74599</v>
          </cell>
          <cell r="G270">
            <v>105646</v>
          </cell>
          <cell r="H270">
            <v>303494</v>
          </cell>
          <cell r="I270">
            <v>237358.42989999999</v>
          </cell>
          <cell r="J270">
            <v>204613</v>
          </cell>
          <cell r="K270">
            <v>139693.5876</v>
          </cell>
          <cell r="L270">
            <v>294132</v>
          </cell>
          <cell r="M270">
            <v>220085.12710000001</v>
          </cell>
          <cell r="N270">
            <v>246241.13760000002</v>
          </cell>
          <cell r="P270">
            <v>165425</v>
          </cell>
          <cell r="Q270">
            <v>1142080.6260000002</v>
          </cell>
          <cell r="R270">
            <v>794585</v>
          </cell>
          <cell r="S270">
            <v>531520.17119999998</v>
          </cell>
          <cell r="T270">
            <v>663585</v>
          </cell>
          <cell r="U270">
            <v>460476.01810000004</v>
          </cell>
          <cell r="V270">
            <v>664233</v>
          </cell>
          <cell r="W270">
            <v>630075</v>
          </cell>
          <cell r="Y270">
            <v>7096010.8564999998</v>
          </cell>
        </row>
        <row r="273">
          <cell r="C273">
            <v>-11922</v>
          </cell>
          <cell r="D273">
            <v>-16517.636999999999</v>
          </cell>
          <cell r="E273">
            <v>-7463</v>
          </cell>
          <cell r="F273">
            <v>-10456.118</v>
          </cell>
          <cell r="G273">
            <v>-17015</v>
          </cell>
          <cell r="H273">
            <v>-49634</v>
          </cell>
          <cell r="I273">
            <v>-39431.011899999998</v>
          </cell>
          <cell r="J273">
            <v>-39346</v>
          </cell>
          <cell r="K273">
            <v>-24114.9084</v>
          </cell>
          <cell r="L273">
            <v>-48175</v>
          </cell>
          <cell r="M273">
            <v>-35742.7454</v>
          </cell>
          <cell r="N273">
            <v>-42136.366099999999</v>
          </cell>
          <cell r="P273">
            <v>-24160</v>
          </cell>
          <cell r="Q273">
            <v>-230524.75899999999</v>
          </cell>
          <cell r="R273">
            <v>-142086</v>
          </cell>
          <cell r="S273">
            <v>-105822.1151</v>
          </cell>
          <cell r="T273">
            <v>-129419</v>
          </cell>
          <cell r="U273">
            <v>-86417.569900000002</v>
          </cell>
          <cell r="V273">
            <v>-116499</v>
          </cell>
          <cell r="W273">
            <v>-115149</v>
          </cell>
          <cell r="Y273">
            <v>-1292031.2308</v>
          </cell>
        </row>
        <row r="274">
          <cell r="C274">
            <v>-21802</v>
          </cell>
          <cell r="D274">
            <v>-18523.995999999999</v>
          </cell>
          <cell r="E274">
            <v>-14181</v>
          </cell>
          <cell r="F274">
            <v>-22784.019</v>
          </cell>
          <cell r="G274">
            <v>-26868</v>
          </cell>
          <cell r="H274">
            <v>-78212</v>
          </cell>
          <cell r="I274">
            <v>-58829.274099999995</v>
          </cell>
          <cell r="J274">
            <v>-53178</v>
          </cell>
          <cell r="K274">
            <v>-34462.684200000003</v>
          </cell>
          <cell r="L274">
            <v>-69673</v>
          </cell>
          <cell r="M274">
            <v>-49242.1109</v>
          </cell>
          <cell r="N274">
            <v>-63315.648199999996</v>
          </cell>
          <cell r="P274">
            <v>-39287</v>
          </cell>
          <cell r="Q274">
            <v>-235558.91199999998</v>
          </cell>
          <cell r="R274">
            <v>-224792</v>
          </cell>
          <cell r="S274">
            <v>-140490.8909</v>
          </cell>
          <cell r="T274">
            <v>-165817</v>
          </cell>
          <cell r="U274">
            <v>-112129.7478</v>
          </cell>
          <cell r="V274">
            <v>-160235</v>
          </cell>
          <cell r="W274">
            <v>-173455</v>
          </cell>
          <cell r="Y274">
            <v>-1762837.2831000001</v>
          </cell>
        </row>
        <row r="275">
          <cell r="C275">
            <v>-5923</v>
          </cell>
          <cell r="D275">
            <v>-9373.3250000000007</v>
          </cell>
          <cell r="E275">
            <v>-5978</v>
          </cell>
          <cell r="F275">
            <v>-9067.3649999999998</v>
          </cell>
          <cell r="G275">
            <v>-9075</v>
          </cell>
          <cell r="H275">
            <v>-27463</v>
          </cell>
          <cell r="I275">
            <v>-25249.937799999996</v>
          </cell>
          <cell r="J275">
            <v>-25571</v>
          </cell>
          <cell r="K275">
            <v>-11902.922499999999</v>
          </cell>
          <cell r="L275">
            <v>-24607</v>
          </cell>
          <cell r="M275">
            <v>-30930.702900000004</v>
          </cell>
          <cell r="N275">
            <v>-29361.4748</v>
          </cell>
          <cell r="P275">
            <v>-15769</v>
          </cell>
          <cell r="Q275">
            <v>-119401.807</v>
          </cell>
          <cell r="R275">
            <v>-85043</v>
          </cell>
          <cell r="S275">
            <v>-46012.251099999994</v>
          </cell>
          <cell r="T275">
            <v>-59595</v>
          </cell>
          <cell r="U275">
            <v>-44410.686600000001</v>
          </cell>
          <cell r="V275">
            <v>-56184</v>
          </cell>
          <cell r="W275">
            <v>-83588</v>
          </cell>
          <cell r="Y275">
            <v>-724506.47270000004</v>
          </cell>
        </row>
        <row r="276">
          <cell r="C276">
            <v>-2368</v>
          </cell>
          <cell r="D276">
            <v>-850.44199999999989</v>
          </cell>
          <cell r="E276">
            <v>-564</v>
          </cell>
          <cell r="F276">
            <v>-2012.654</v>
          </cell>
          <cell r="G276">
            <v>-773</v>
          </cell>
          <cell r="H276">
            <v>-6347</v>
          </cell>
          <cell r="I276">
            <v>-6514.2260000000006</v>
          </cell>
          <cell r="J276">
            <v>-5512</v>
          </cell>
          <cell r="K276">
            <v>-2519.9270000000001</v>
          </cell>
          <cell r="L276">
            <v>-1728</v>
          </cell>
          <cell r="M276">
            <v>-4408.0637999999999</v>
          </cell>
          <cell r="N276">
            <v>-3721.8526000000002</v>
          </cell>
          <cell r="P276">
            <v>-3775</v>
          </cell>
          <cell r="Q276">
            <v>-8123.351999999999</v>
          </cell>
          <cell r="R276">
            <v>-14541</v>
          </cell>
          <cell r="S276">
            <v>-7390.1356000000014</v>
          </cell>
          <cell r="T276">
            <v>-16916</v>
          </cell>
          <cell r="U276">
            <v>-7634.9672</v>
          </cell>
          <cell r="V276">
            <v>-12964</v>
          </cell>
          <cell r="W276">
            <v>-5729</v>
          </cell>
          <cell r="Y276">
            <v>-114392.62019999999</v>
          </cell>
        </row>
        <row r="277">
          <cell r="C277">
            <v>-7017</v>
          </cell>
          <cell r="D277">
            <v>-6746.9980000000014</v>
          </cell>
          <cell r="E277">
            <v>-4528</v>
          </cell>
          <cell r="F277">
            <v>-6516.0119999999997</v>
          </cell>
          <cell r="G277">
            <v>-8592</v>
          </cell>
          <cell r="H277">
            <v>-23137</v>
          </cell>
          <cell r="I277">
            <v>-22452.194200000002</v>
          </cell>
          <cell r="J277">
            <v>-20597</v>
          </cell>
          <cell r="K277">
            <v>-12719.370699999999</v>
          </cell>
          <cell r="L277">
            <v>-18533</v>
          </cell>
          <cell r="M277">
            <v>-19982.714899999995</v>
          </cell>
          <cell r="N277">
            <v>-23011.560799999999</v>
          </cell>
          <cell r="P277">
            <v>-15716</v>
          </cell>
          <cell r="Q277">
            <v>-105198.35100000001</v>
          </cell>
          <cell r="R277">
            <v>-58910</v>
          </cell>
          <cell r="S277">
            <v>-47220.4692</v>
          </cell>
          <cell r="T277">
            <v>-49427</v>
          </cell>
          <cell r="U277">
            <v>-36232.768400000001</v>
          </cell>
          <cell r="V277">
            <v>-60088</v>
          </cell>
          <cell r="W277">
            <v>-51961</v>
          </cell>
          <cell r="Y277">
            <v>-598586.43920000002</v>
          </cell>
        </row>
        <row r="278">
          <cell r="A278" t="str">
            <v>Total Personnel Expenses</v>
          </cell>
          <cell r="C278">
            <v>-49032</v>
          </cell>
          <cell r="D278">
            <v>-52012.398000000001</v>
          </cell>
          <cell r="E278">
            <v>-32714</v>
          </cell>
          <cell r="F278">
            <v>-50836.168000000005</v>
          </cell>
          <cell r="G278">
            <v>-62323</v>
          </cell>
          <cell r="H278">
            <v>-184793</v>
          </cell>
          <cell r="I278">
            <v>-152476.644</v>
          </cell>
          <cell r="J278">
            <v>-144204</v>
          </cell>
          <cell r="K278">
            <v>-85719.8128</v>
          </cell>
          <cell r="L278">
            <v>-162716</v>
          </cell>
          <cell r="M278">
            <v>-140306.33790000001</v>
          </cell>
          <cell r="N278">
            <v>-161546.90250000003</v>
          </cell>
          <cell r="P278">
            <v>-98707</v>
          </cell>
          <cell r="Q278">
            <v>-779807.18099999998</v>
          </cell>
          <cell r="R278">
            <v>-525372</v>
          </cell>
          <cell r="S278">
            <v>-346935.86189999996</v>
          </cell>
          <cell r="T278">
            <v>-421174</v>
          </cell>
          <cell r="U278">
            <v>-286825.73990000004</v>
          </cell>
          <cell r="V278">
            <v>-405970</v>
          </cell>
          <cell r="W278">
            <v>-429882</v>
          </cell>
          <cell r="Y278">
            <v>-4573354.0460000001</v>
          </cell>
        </row>
        <row r="280">
          <cell r="C280">
            <v>-3578</v>
          </cell>
          <cell r="D280">
            <v>-1779.1849999999999</v>
          </cell>
          <cell r="E280">
            <v>-1963</v>
          </cell>
          <cell r="F280">
            <v>-7829</v>
          </cell>
          <cell r="G280">
            <v>-5463</v>
          </cell>
          <cell r="H280">
            <v>-6112</v>
          </cell>
          <cell r="I280">
            <v>-3666.2312000000002</v>
          </cell>
          <cell r="J280">
            <v>-1988</v>
          </cell>
          <cell r="K280">
            <v>-4929.1266999999998</v>
          </cell>
          <cell r="L280">
            <v>-5356</v>
          </cell>
          <cell r="M280">
            <v>-1856.8457000000001</v>
          </cell>
          <cell r="N280">
            <v>-6443.3248999999996</v>
          </cell>
          <cell r="P280">
            <v>-4026</v>
          </cell>
          <cell r="Q280">
            <v>-8556.844000000001</v>
          </cell>
          <cell r="R280">
            <v>-9957</v>
          </cell>
          <cell r="S280">
            <v>-5265.7804000000015</v>
          </cell>
          <cell r="T280">
            <v>-5486</v>
          </cell>
          <cell r="U280">
            <v>-13171.623</v>
          </cell>
          <cell r="V280">
            <v>-7161</v>
          </cell>
          <cell r="W280">
            <v>-7631</v>
          </cell>
          <cell r="Y280">
            <v>-112218.96090000001</v>
          </cell>
        </row>
        <row r="281">
          <cell r="C281">
            <v>-44</v>
          </cell>
          <cell r="D281">
            <v>-163.67399999999998</v>
          </cell>
          <cell r="E281">
            <v>-32</v>
          </cell>
          <cell r="F281">
            <v>-277</v>
          </cell>
          <cell r="G281">
            <v>-5</v>
          </cell>
          <cell r="H281">
            <v>-710</v>
          </cell>
          <cell r="I281">
            <v>-34.076799999999999</v>
          </cell>
          <cell r="J281">
            <v>-447</v>
          </cell>
          <cell r="K281">
            <v>-4</v>
          </cell>
          <cell r="L281">
            <v>-442</v>
          </cell>
          <cell r="M281">
            <v>-133.29930000000002</v>
          </cell>
          <cell r="N281">
            <v>0</v>
          </cell>
          <cell r="P281">
            <v>0</v>
          </cell>
          <cell r="Q281">
            <v>-1800.864</v>
          </cell>
          <cell r="R281">
            <v>-2091</v>
          </cell>
          <cell r="S281">
            <v>-2695.7172999999998</v>
          </cell>
          <cell r="T281">
            <v>-1473</v>
          </cell>
          <cell r="U281">
            <v>-43.925800000000002</v>
          </cell>
          <cell r="V281">
            <v>-1492</v>
          </cell>
          <cell r="W281">
            <v>-2612</v>
          </cell>
          <cell r="Y281">
            <v>-14500.557200000001</v>
          </cell>
        </row>
        <row r="282">
          <cell r="C282">
            <v>-109</v>
          </cell>
          <cell r="D282">
            <v>-96.531999999999996</v>
          </cell>
          <cell r="E282">
            <v>-16</v>
          </cell>
          <cell r="F282">
            <v>-166</v>
          </cell>
          <cell r="G282">
            <v>-114</v>
          </cell>
          <cell r="H282">
            <v>-316</v>
          </cell>
          <cell r="I282">
            <v>-1044.1482000000001</v>
          </cell>
          <cell r="J282">
            <v>-240</v>
          </cell>
          <cell r="K282">
            <v>-170.88800000000001</v>
          </cell>
          <cell r="L282">
            <v>-4</v>
          </cell>
          <cell r="M282">
            <v>-24.260400000000004</v>
          </cell>
          <cell r="N282">
            <v>-555.43119999999999</v>
          </cell>
          <cell r="P282">
            <v>-159</v>
          </cell>
          <cell r="Q282">
            <v>0</v>
          </cell>
          <cell r="R282">
            <v>-416</v>
          </cell>
          <cell r="S282">
            <v>-339.02830000000006</v>
          </cell>
          <cell r="T282">
            <v>-423</v>
          </cell>
          <cell r="U282">
            <v>-388.91239999999999</v>
          </cell>
          <cell r="V282">
            <v>-1417</v>
          </cell>
          <cell r="W282">
            <v>-623</v>
          </cell>
          <cell r="Y282">
            <v>-6622.2004999999999</v>
          </cell>
        </row>
        <row r="283">
          <cell r="C283">
            <v>-91</v>
          </cell>
          <cell r="D283">
            <v>-1.387</v>
          </cell>
          <cell r="E283">
            <v>-180</v>
          </cell>
          <cell r="F283">
            <v>-60</v>
          </cell>
          <cell r="G283">
            <v>-237</v>
          </cell>
          <cell r="H283">
            <v>-543</v>
          </cell>
          <cell r="I283">
            <v>-120.36139999999999</v>
          </cell>
          <cell r="J283">
            <v>-266</v>
          </cell>
          <cell r="K283">
            <v>-70.075999999999993</v>
          </cell>
          <cell r="L283">
            <v>-203</v>
          </cell>
          <cell r="M283">
            <v>-157.05900000000003</v>
          </cell>
          <cell r="N283">
            <v>-419.09280000000001</v>
          </cell>
          <cell r="P283">
            <v>-97</v>
          </cell>
          <cell r="Q283">
            <v>-4376.4920000000002</v>
          </cell>
          <cell r="R283">
            <v>-822</v>
          </cell>
          <cell r="S283">
            <v>-3535.1458000000002</v>
          </cell>
          <cell r="T283">
            <v>-3250</v>
          </cell>
          <cell r="U283">
            <v>-46.949799999999996</v>
          </cell>
          <cell r="V283">
            <v>-4210</v>
          </cell>
          <cell r="W283">
            <v>-943</v>
          </cell>
          <cell r="Y283">
            <v>-19628.563800000004</v>
          </cell>
        </row>
        <row r="284">
          <cell r="C284">
            <v>-6466</v>
          </cell>
          <cell r="D284">
            <v>-3768.0650000000001</v>
          </cell>
          <cell r="E284">
            <v>-3051</v>
          </cell>
          <cell r="F284">
            <v>-3423</v>
          </cell>
          <cell r="G284">
            <v>-4940</v>
          </cell>
          <cell r="H284">
            <v>-16992</v>
          </cell>
          <cell r="I284">
            <v>-5641.5550000000003</v>
          </cell>
          <cell r="J284">
            <v>-3549</v>
          </cell>
          <cell r="K284">
            <v>-5887.2224999999999</v>
          </cell>
          <cell r="L284">
            <v>-14621</v>
          </cell>
          <cell r="M284">
            <v>-8769.1087000000007</v>
          </cell>
          <cell r="N284">
            <v>-4677.4682000000003</v>
          </cell>
          <cell r="P284">
            <v>-20182</v>
          </cell>
          <cell r="Q284">
            <v>-24104.129000000001</v>
          </cell>
          <cell r="R284">
            <v>-5502</v>
          </cell>
          <cell r="S284">
            <v>-6634.0775000000003</v>
          </cell>
          <cell r="T284">
            <v>-22557</v>
          </cell>
          <cell r="U284">
            <v>-7663.2443000000003</v>
          </cell>
          <cell r="V284">
            <v>-32639</v>
          </cell>
          <cell r="W284">
            <v>-16818</v>
          </cell>
          <cell r="Y284">
            <v>-217884.8702</v>
          </cell>
        </row>
        <row r="285">
          <cell r="C285">
            <v>-4</v>
          </cell>
          <cell r="D285">
            <v>-0.57000000000061846</v>
          </cell>
          <cell r="E285">
            <v>-17</v>
          </cell>
          <cell r="F285">
            <v>-332</v>
          </cell>
          <cell r="G285">
            <v>0</v>
          </cell>
          <cell r="H285">
            <v>-21</v>
          </cell>
          <cell r="I285">
            <v>-148.03440000000046</v>
          </cell>
          <cell r="J285">
            <v>-70</v>
          </cell>
          <cell r="K285">
            <v>-185.7450000000008</v>
          </cell>
          <cell r="L285">
            <v>-2</v>
          </cell>
          <cell r="M285">
            <v>-40.052599999999074</v>
          </cell>
          <cell r="N285">
            <v>-104.71780000000035</v>
          </cell>
          <cell r="P285">
            <v>-23</v>
          </cell>
          <cell r="Q285">
            <v>0</v>
          </cell>
          <cell r="R285">
            <v>0</v>
          </cell>
          <cell r="S285">
            <v>-919.9416999999994</v>
          </cell>
          <cell r="T285">
            <v>-16363</v>
          </cell>
          <cell r="U285">
            <v>-1109.075200000003</v>
          </cell>
          <cell r="V285">
            <v>-2375</v>
          </cell>
          <cell r="W285">
            <v>-17266</v>
          </cell>
          <cell r="Y285">
            <v>-38981.136700000003</v>
          </cell>
        </row>
        <row r="286">
          <cell r="A286" t="str">
            <v>Total Outsourced Service Expenses</v>
          </cell>
          <cell r="C286">
            <v>-10292</v>
          </cell>
          <cell r="D286">
            <v>-5728.4130000000005</v>
          </cell>
          <cell r="E286">
            <v>-5259</v>
          </cell>
          <cell r="F286">
            <v>-12087</v>
          </cell>
          <cell r="G286">
            <v>-10759</v>
          </cell>
          <cell r="H286">
            <v>-24694</v>
          </cell>
          <cell r="I286">
            <v>-10654.407000000001</v>
          </cell>
          <cell r="J286">
            <v>-6560</v>
          </cell>
          <cell r="K286">
            <v>-11247.058200000001</v>
          </cell>
          <cell r="L286">
            <v>-20628</v>
          </cell>
          <cell r="M286">
            <v>-10980.625700000001</v>
          </cell>
          <cell r="N286">
            <v>-12200.034900000001</v>
          </cell>
          <cell r="P286">
            <v>-24487</v>
          </cell>
          <cell r="Q286">
            <v>-38838.328999999998</v>
          </cell>
          <cell r="R286">
            <v>-18788</v>
          </cell>
          <cell r="S286">
            <v>-19389.691000000003</v>
          </cell>
          <cell r="T286">
            <v>-49552</v>
          </cell>
          <cell r="U286">
            <v>-22423.730500000001</v>
          </cell>
          <cell r="V286">
            <v>-49294</v>
          </cell>
          <cell r="W286">
            <v>-45893</v>
          </cell>
          <cell r="Y286">
            <v>-409755.2893</v>
          </cell>
        </row>
        <row r="288">
          <cell r="C288">
            <v>-59324</v>
          </cell>
          <cell r="D288">
            <v>-57740.811000000002</v>
          </cell>
          <cell r="E288">
            <v>-37973</v>
          </cell>
          <cell r="F288">
            <v>-62923.168000000005</v>
          </cell>
          <cell r="G288">
            <v>-73082</v>
          </cell>
          <cell r="H288">
            <v>-209487</v>
          </cell>
          <cell r="I288">
            <v>-163131.05100000001</v>
          </cell>
          <cell r="J288">
            <v>-150764</v>
          </cell>
          <cell r="K288">
            <v>-96966.870999999999</v>
          </cell>
          <cell r="L288">
            <v>-183344</v>
          </cell>
          <cell r="M288">
            <v>-151286.96360000002</v>
          </cell>
          <cell r="N288">
            <v>-173746.93740000002</v>
          </cell>
          <cell r="P288">
            <v>-123194</v>
          </cell>
          <cell r="Q288">
            <v>-737645.51</v>
          </cell>
          <cell r="R288">
            <v>-544160</v>
          </cell>
          <cell r="S288">
            <v>-366325.55289999995</v>
          </cell>
          <cell r="T288">
            <v>-470726</v>
          </cell>
          <cell r="U288">
            <v>-309249.47040000005</v>
          </cell>
          <cell r="V288">
            <v>-455264</v>
          </cell>
          <cell r="W288">
            <v>-475775</v>
          </cell>
          <cell r="Y288">
            <v>-4902109.3353000004</v>
          </cell>
        </row>
        <row r="290">
          <cell r="C290">
            <v>-143</v>
          </cell>
          <cell r="D290">
            <v>-3084.0030000000002</v>
          </cell>
          <cell r="E290">
            <v>-2837</v>
          </cell>
          <cell r="F290">
            <v>-1148</v>
          </cell>
          <cell r="G290">
            <v>-4566</v>
          </cell>
          <cell r="H290">
            <v>-16038</v>
          </cell>
          <cell r="I290">
            <v>-10297.218500000001</v>
          </cell>
          <cell r="J290">
            <v>-9070</v>
          </cell>
          <cell r="K290">
            <v>-8246.3873999999996</v>
          </cell>
          <cell r="L290">
            <v>-14743</v>
          </cell>
          <cell r="M290">
            <v>-9992.4588000000003</v>
          </cell>
          <cell r="N290">
            <v>-13140.3801</v>
          </cell>
          <cell r="P290">
            <v>-8104</v>
          </cell>
          <cell r="Q290">
            <v>-75033.498999999996</v>
          </cell>
          <cell r="R290">
            <v>-44025</v>
          </cell>
          <cell r="S290">
            <v>-41922.655599999998</v>
          </cell>
          <cell r="T290">
            <v>-37532</v>
          </cell>
          <cell r="U290">
            <v>-26081.2297</v>
          </cell>
          <cell r="V290">
            <v>-42852</v>
          </cell>
          <cell r="W290">
            <v>-21256</v>
          </cell>
          <cell r="Y290">
            <v>-390111.8321</v>
          </cell>
        </row>
        <row r="291">
          <cell r="C291">
            <v>-3136</v>
          </cell>
          <cell r="D291">
            <v>-426.60299999999995</v>
          </cell>
          <cell r="E291">
            <v>-202</v>
          </cell>
          <cell r="F291">
            <v>-86</v>
          </cell>
          <cell r="G291">
            <v>-540</v>
          </cell>
          <cell r="H291">
            <v>-1640</v>
          </cell>
          <cell r="I291">
            <v>-2936.1395000000002</v>
          </cell>
          <cell r="J291">
            <v>-1864</v>
          </cell>
          <cell r="K291">
            <v>-104.4575</v>
          </cell>
          <cell r="L291">
            <v>-977</v>
          </cell>
          <cell r="M291">
            <v>-705.33019999999999</v>
          </cell>
          <cell r="N291">
            <v>-2212.6034</v>
          </cell>
          <cell r="P291">
            <v>-1255</v>
          </cell>
          <cell r="Q291">
            <v>-40863.025000000001</v>
          </cell>
          <cell r="R291">
            <v>-12315</v>
          </cell>
          <cell r="S291">
            <v>-8107.8860999999997</v>
          </cell>
          <cell r="T291">
            <v>-6093</v>
          </cell>
          <cell r="U291">
            <v>-1606.4322999999999</v>
          </cell>
          <cell r="V291">
            <v>-9423</v>
          </cell>
          <cell r="W291">
            <v>-4500</v>
          </cell>
          <cell r="Y291">
            <v>-98993.476999999999</v>
          </cell>
        </row>
        <row r="292">
          <cell r="C292">
            <v>-1441</v>
          </cell>
          <cell r="D292">
            <v>-2178.509</v>
          </cell>
          <cell r="E292">
            <v>-2006</v>
          </cell>
          <cell r="F292">
            <v>-1726</v>
          </cell>
          <cell r="G292">
            <v>-2839</v>
          </cell>
          <cell r="H292">
            <v>-9572</v>
          </cell>
          <cell r="I292">
            <v>-5181.9148999999998</v>
          </cell>
          <cell r="J292">
            <v>-5477</v>
          </cell>
          <cell r="K292">
            <v>-3828.3321999999998</v>
          </cell>
          <cell r="L292">
            <v>-9303</v>
          </cell>
          <cell r="M292">
            <v>-4885.67</v>
          </cell>
          <cell r="N292">
            <v>-6816.5979000000007</v>
          </cell>
          <cell r="P292">
            <v>-1988</v>
          </cell>
          <cell r="Q292">
            <v>-12065.198</v>
          </cell>
          <cell r="R292">
            <v>-8208</v>
          </cell>
          <cell r="S292">
            <v>-18742.864899999997</v>
          </cell>
          <cell r="T292">
            <v>-17570</v>
          </cell>
          <cell r="U292">
            <v>-14561.1026</v>
          </cell>
          <cell r="V292">
            <v>-19567</v>
          </cell>
          <cell r="W292">
            <v>-14085</v>
          </cell>
          <cell r="Y292">
            <v>-162042.18949999998</v>
          </cell>
        </row>
        <row r="293">
          <cell r="C293">
            <v>-476</v>
          </cell>
          <cell r="D293">
            <v>-322.23500000000001</v>
          </cell>
          <cell r="E293">
            <v>-358</v>
          </cell>
          <cell r="F293">
            <v>-341</v>
          </cell>
          <cell r="G293">
            <v>-914</v>
          </cell>
          <cell r="H293">
            <v>-1302</v>
          </cell>
          <cell r="I293">
            <v>-1383.0154</v>
          </cell>
          <cell r="J293">
            <v>-874</v>
          </cell>
          <cell r="K293">
            <v>-744.19680000000005</v>
          </cell>
          <cell r="L293">
            <v>-2143</v>
          </cell>
          <cell r="M293">
            <v>-1497.8985</v>
          </cell>
          <cell r="N293">
            <v>-1004.8936999999999</v>
          </cell>
          <cell r="P293">
            <v>-1053</v>
          </cell>
          <cell r="Q293">
            <v>-2384.9820000000004</v>
          </cell>
          <cell r="R293">
            <v>-2605</v>
          </cell>
          <cell r="S293">
            <v>-4417.3796000000002</v>
          </cell>
          <cell r="T293">
            <v>-2737</v>
          </cell>
          <cell r="U293">
            <v>-2265.8456000000001</v>
          </cell>
          <cell r="V293">
            <v>-2597</v>
          </cell>
          <cell r="W293">
            <v>-3716</v>
          </cell>
          <cell r="Y293">
            <v>-33136.446599999996</v>
          </cell>
        </row>
        <row r="294">
          <cell r="C294">
            <v>-1268</v>
          </cell>
          <cell r="D294">
            <v>-1315.248</v>
          </cell>
          <cell r="E294">
            <v>-939</v>
          </cell>
          <cell r="F294">
            <v>-813</v>
          </cell>
          <cell r="G294">
            <v>-1952</v>
          </cell>
          <cell r="H294">
            <v>-6364</v>
          </cell>
          <cell r="I294">
            <v>-4097.0109000000002</v>
          </cell>
          <cell r="J294">
            <v>-3421</v>
          </cell>
          <cell r="K294">
            <v>-1767.4837</v>
          </cell>
          <cell r="L294">
            <v>-3430</v>
          </cell>
          <cell r="M294">
            <v>-4920.5976000000001</v>
          </cell>
          <cell r="N294">
            <v>-3744.0131000000001</v>
          </cell>
          <cell r="P294">
            <v>-2521</v>
          </cell>
          <cell r="Q294">
            <v>-21816.102000000003</v>
          </cell>
          <cell r="R294">
            <v>-14222</v>
          </cell>
          <cell r="S294">
            <v>-14148.638799999999</v>
          </cell>
          <cell r="T294">
            <v>-14094</v>
          </cell>
          <cell r="U294">
            <v>-9417.2070000000003</v>
          </cell>
          <cell r="V294">
            <v>-15313</v>
          </cell>
          <cell r="W294">
            <v>-9621</v>
          </cell>
          <cell r="Y294">
            <v>-135184.30109999998</v>
          </cell>
        </row>
        <row r="295">
          <cell r="C295">
            <v>-2908</v>
          </cell>
          <cell r="D295">
            <v>-2686.66</v>
          </cell>
          <cell r="E295">
            <v>-843</v>
          </cell>
          <cell r="F295">
            <v>-1873</v>
          </cell>
          <cell r="G295">
            <v>-3031</v>
          </cell>
          <cell r="H295">
            <v>-10959</v>
          </cell>
          <cell r="I295">
            <v>-9037.0037999999986</v>
          </cell>
          <cell r="J295">
            <v>-3368</v>
          </cell>
          <cell r="K295">
            <v>-4661.7867000000006</v>
          </cell>
          <cell r="L295">
            <v>-12481</v>
          </cell>
          <cell r="M295">
            <v>-5978.3721000000005</v>
          </cell>
          <cell r="N295">
            <v>-4115.3711000000003</v>
          </cell>
          <cell r="P295">
            <v>-4102</v>
          </cell>
          <cell r="Q295">
            <v>-43995.654999999999</v>
          </cell>
          <cell r="R295">
            <v>-19129</v>
          </cell>
          <cell r="S295">
            <v>-18693.0435</v>
          </cell>
          <cell r="T295">
            <v>-12464</v>
          </cell>
          <cell r="U295">
            <v>-18958.5088</v>
          </cell>
          <cell r="V295">
            <v>-22864</v>
          </cell>
          <cell r="W295">
            <v>-15281</v>
          </cell>
          <cell r="Y295">
            <v>-217429.40100000001</v>
          </cell>
        </row>
        <row r="296">
          <cell r="C296">
            <v>-182</v>
          </cell>
          <cell r="D296">
            <v>-2305.6509999999998</v>
          </cell>
          <cell r="E296">
            <v>-947</v>
          </cell>
          <cell r="F296">
            <v>-1124</v>
          </cell>
          <cell r="G296">
            <v>-1437</v>
          </cell>
          <cell r="H296">
            <v>-1794</v>
          </cell>
          <cell r="I296">
            <v>-6777.4839000000011</v>
          </cell>
          <cell r="J296">
            <v>-2399</v>
          </cell>
          <cell r="K296">
            <v>-892.37869999999998</v>
          </cell>
          <cell r="L296">
            <v>-2481</v>
          </cell>
          <cell r="M296">
            <v>-3476.0760000000005</v>
          </cell>
          <cell r="N296">
            <v>-6647.5158000000001</v>
          </cell>
          <cell r="P296">
            <v>-2752</v>
          </cell>
          <cell r="Q296">
            <v>-4343.9670000000006</v>
          </cell>
          <cell r="R296">
            <v>-9423</v>
          </cell>
          <cell r="S296">
            <v>-3096.5610999999999</v>
          </cell>
          <cell r="T296">
            <v>-3952</v>
          </cell>
          <cell r="U296">
            <v>-2822.3568</v>
          </cell>
          <cell r="V296">
            <v>-2983</v>
          </cell>
          <cell r="W296">
            <v>-5219</v>
          </cell>
          <cell r="Y296">
            <v>-65054.990300000005</v>
          </cell>
        </row>
        <row r="297">
          <cell r="C297">
            <v>-9554</v>
          </cell>
          <cell r="D297">
            <v>-12318.909</v>
          </cell>
          <cell r="E297">
            <v>-8132</v>
          </cell>
          <cell r="F297">
            <v>-7111</v>
          </cell>
          <cell r="G297">
            <v>-15279</v>
          </cell>
          <cell r="H297">
            <v>-47669</v>
          </cell>
          <cell r="I297">
            <v>-39709.786899999999</v>
          </cell>
          <cell r="J297">
            <v>-26473</v>
          </cell>
          <cell r="K297">
            <v>-20245.023000000001</v>
          </cell>
          <cell r="L297">
            <v>-45558</v>
          </cell>
          <cell r="M297">
            <v>-31456.403200000001</v>
          </cell>
          <cell r="N297">
            <v>-37681.375100000005</v>
          </cell>
          <cell r="P297">
            <v>-21775</v>
          </cell>
          <cell r="Q297">
            <v>-200502.42800000001</v>
          </cell>
          <cell r="R297">
            <v>-109927</v>
          </cell>
          <cell r="S297">
            <v>-109129.02960000001</v>
          </cell>
          <cell r="T297">
            <v>-94442</v>
          </cell>
          <cell r="U297">
            <v>-75712.682799999995</v>
          </cell>
          <cell r="V297">
            <v>-115599</v>
          </cell>
          <cell r="W297">
            <v>-73678</v>
          </cell>
          <cell r="Y297">
            <v>-1101952.6376</v>
          </cell>
        </row>
        <row r="299">
          <cell r="C299">
            <v>-2466</v>
          </cell>
          <cell r="D299">
            <v>-2551.373</v>
          </cell>
          <cell r="E299">
            <v>-2318</v>
          </cell>
          <cell r="F299">
            <v>-3490</v>
          </cell>
          <cell r="G299">
            <v>-3721</v>
          </cell>
          <cell r="H299">
            <v>-9369</v>
          </cell>
          <cell r="I299">
            <v>-6444.1882000000005</v>
          </cell>
          <cell r="J299">
            <v>-3558</v>
          </cell>
          <cell r="K299">
            <v>-4223.2435999999998</v>
          </cell>
          <cell r="L299">
            <v>-10817</v>
          </cell>
          <cell r="M299">
            <v>-6796.0058000000008</v>
          </cell>
          <cell r="N299">
            <v>-5054.5754000000006</v>
          </cell>
          <cell r="P299">
            <v>-3235</v>
          </cell>
          <cell r="Q299">
            <v>-30329.007999999994</v>
          </cell>
          <cell r="R299">
            <v>-16798</v>
          </cell>
          <cell r="S299">
            <v>-12559.373</v>
          </cell>
          <cell r="T299">
            <v>-16505</v>
          </cell>
          <cell r="U299">
            <v>-12990.261900000001</v>
          </cell>
          <cell r="V299">
            <v>-15159</v>
          </cell>
          <cell r="W299">
            <v>-22051</v>
          </cell>
          <cell r="Y299">
            <v>-190435.0289</v>
          </cell>
        </row>
        <row r="300">
          <cell r="C300">
            <v>-3372</v>
          </cell>
          <cell r="D300">
            <v>-3589.7919999999999</v>
          </cell>
          <cell r="E300">
            <v>-2704</v>
          </cell>
          <cell r="F300">
            <v>-5101</v>
          </cell>
          <cell r="G300">
            <v>-6141</v>
          </cell>
          <cell r="H300">
            <v>-14375</v>
          </cell>
          <cell r="I300">
            <v>-13491.3469</v>
          </cell>
          <cell r="J300">
            <v>-9680</v>
          </cell>
          <cell r="K300">
            <v>-5937.7650000000003</v>
          </cell>
          <cell r="L300">
            <v>-16323</v>
          </cell>
          <cell r="M300">
            <v>-10735.817000000001</v>
          </cell>
          <cell r="N300">
            <v>-13024.292899999999</v>
          </cell>
          <cell r="P300">
            <v>-9067</v>
          </cell>
          <cell r="Q300">
            <v>-45860.847999999998</v>
          </cell>
          <cell r="R300">
            <v>-16778</v>
          </cell>
          <cell r="S300">
            <v>-34319.299200000001</v>
          </cell>
          <cell r="T300">
            <v>-24171</v>
          </cell>
          <cell r="U300">
            <v>-19000.325499999999</v>
          </cell>
          <cell r="V300">
            <v>-35501</v>
          </cell>
          <cell r="W300">
            <v>-25194</v>
          </cell>
          <cell r="Y300">
            <v>-314366.4865</v>
          </cell>
        </row>
        <row r="301">
          <cell r="C301">
            <v>-1338</v>
          </cell>
          <cell r="D301">
            <v>-768.82099999999991</v>
          </cell>
          <cell r="E301">
            <v>-817</v>
          </cell>
          <cell r="F301">
            <v>-1485</v>
          </cell>
          <cell r="G301">
            <v>-812</v>
          </cell>
          <cell r="H301">
            <v>-2149</v>
          </cell>
          <cell r="I301">
            <v>-2098.7317000000003</v>
          </cell>
          <cell r="J301">
            <v>-1410</v>
          </cell>
          <cell r="K301">
            <v>-971.43449999999996</v>
          </cell>
          <cell r="L301">
            <v>-2987</v>
          </cell>
          <cell r="M301">
            <v>-2079.0484999999999</v>
          </cell>
          <cell r="N301">
            <v>-3465.5779000000002</v>
          </cell>
          <cell r="P301">
            <v>-1756</v>
          </cell>
          <cell r="Q301">
            <v>-9356.3160000000007</v>
          </cell>
          <cell r="R301">
            <v>-1355</v>
          </cell>
          <cell r="S301">
            <v>-3268.5525000000002</v>
          </cell>
          <cell r="T301">
            <v>-3703</v>
          </cell>
          <cell r="U301">
            <v>-3447.4856999999997</v>
          </cell>
          <cell r="V301">
            <v>-4253</v>
          </cell>
          <cell r="W301">
            <v>-3713</v>
          </cell>
          <cell r="Y301">
            <v>-51233.967799999999</v>
          </cell>
        </row>
        <row r="302">
          <cell r="C302">
            <v>-1233</v>
          </cell>
          <cell r="D302">
            <v>-1787.89</v>
          </cell>
          <cell r="E302">
            <v>-1309</v>
          </cell>
          <cell r="F302">
            <v>-2109</v>
          </cell>
          <cell r="G302">
            <v>-2775</v>
          </cell>
          <cell r="H302">
            <v>-5284</v>
          </cell>
          <cell r="I302">
            <v>-5884.8000999999995</v>
          </cell>
          <cell r="J302">
            <v>-4743</v>
          </cell>
          <cell r="K302">
            <v>-3986.0905000000002</v>
          </cell>
          <cell r="L302">
            <v>-7254</v>
          </cell>
          <cell r="M302">
            <v>-5086.4040999999997</v>
          </cell>
          <cell r="N302">
            <v>-5195.2731999999996</v>
          </cell>
          <cell r="P302">
            <v>-4592</v>
          </cell>
          <cell r="Q302">
            <v>-11815.382000000001</v>
          </cell>
          <cell r="R302">
            <v>-10272</v>
          </cell>
          <cell r="S302">
            <v>-17580.916100000002</v>
          </cell>
          <cell r="T302">
            <v>-6584</v>
          </cell>
          <cell r="U302">
            <v>-10350.569600000001</v>
          </cell>
          <cell r="V302">
            <v>-16027</v>
          </cell>
          <cell r="W302">
            <v>-9239</v>
          </cell>
          <cell r="Y302">
            <v>-133108.32559999998</v>
          </cell>
        </row>
        <row r="303">
          <cell r="C303">
            <v>-1115</v>
          </cell>
          <cell r="D303">
            <v>-3055.5990000000002</v>
          </cell>
          <cell r="E303">
            <v>-1896</v>
          </cell>
          <cell r="F303">
            <v>-2309</v>
          </cell>
          <cell r="G303">
            <v>-4252</v>
          </cell>
          <cell r="H303">
            <v>-7856</v>
          </cell>
          <cell r="I303">
            <v>-4736.0556999999999</v>
          </cell>
          <cell r="J303">
            <v>-5831</v>
          </cell>
          <cell r="K303">
            <v>-2957.1511</v>
          </cell>
          <cell r="L303">
            <v>-9996</v>
          </cell>
          <cell r="M303">
            <v>-7558.9686999999994</v>
          </cell>
          <cell r="N303">
            <v>-6682.1261999999988</v>
          </cell>
          <cell r="P303">
            <v>-8012</v>
          </cell>
          <cell r="Q303">
            <v>-56212.801999999996</v>
          </cell>
          <cell r="R303">
            <v>-22109</v>
          </cell>
          <cell r="S303">
            <v>-27890.731099999997</v>
          </cell>
          <cell r="T303">
            <v>-21017</v>
          </cell>
          <cell r="U303">
            <v>-13279.803199999998</v>
          </cell>
          <cell r="V303">
            <v>-16687</v>
          </cell>
          <cell r="W303">
            <v>-25210</v>
          </cell>
          <cell r="Y303">
            <v>-248663.23699999999</v>
          </cell>
        </row>
        <row r="304">
          <cell r="C304">
            <v>-705</v>
          </cell>
          <cell r="D304">
            <v>-217.32599999999999</v>
          </cell>
          <cell r="E304">
            <v>-203</v>
          </cell>
          <cell r="F304">
            <v>-477</v>
          </cell>
          <cell r="G304">
            <v>-798</v>
          </cell>
          <cell r="H304">
            <v>-1570</v>
          </cell>
          <cell r="I304">
            <v>-1492.8343</v>
          </cell>
          <cell r="J304">
            <v>-3066</v>
          </cell>
          <cell r="K304">
            <v>-1568.5887</v>
          </cell>
          <cell r="L304">
            <v>-2075</v>
          </cell>
          <cell r="M304">
            <v>-1996.63</v>
          </cell>
          <cell r="N304">
            <v>-1880.2918</v>
          </cell>
          <cell r="P304">
            <v>-1870</v>
          </cell>
          <cell r="Q304">
            <v>-3827.1839999999997</v>
          </cell>
          <cell r="R304">
            <v>-3930</v>
          </cell>
          <cell r="S304">
            <v>-1880.579</v>
          </cell>
          <cell r="T304">
            <v>-5214</v>
          </cell>
          <cell r="U304">
            <v>-1393.1024</v>
          </cell>
          <cell r="V304">
            <v>-8272</v>
          </cell>
          <cell r="W304">
            <v>-2844</v>
          </cell>
          <cell r="Y304">
            <v>-45280.536200000002</v>
          </cell>
        </row>
        <row r="305">
          <cell r="C305">
            <v>-1701</v>
          </cell>
          <cell r="D305">
            <v>-551.34399999999994</v>
          </cell>
          <cell r="E305">
            <v>-2676</v>
          </cell>
          <cell r="F305">
            <v>-2321</v>
          </cell>
          <cell r="G305">
            <v>-2285</v>
          </cell>
          <cell r="H305">
            <v>-2456</v>
          </cell>
          <cell r="I305">
            <v>-2505.2600000000002</v>
          </cell>
          <cell r="J305">
            <v>-3448</v>
          </cell>
          <cell r="K305">
            <v>-2612.2946999999999</v>
          </cell>
          <cell r="L305">
            <v>-14083</v>
          </cell>
          <cell r="M305">
            <v>-4929.7062999999998</v>
          </cell>
          <cell r="N305">
            <v>-3549.8333999999995</v>
          </cell>
          <cell r="P305">
            <v>667</v>
          </cell>
          <cell r="Q305">
            <v>-53634.135000000002</v>
          </cell>
          <cell r="R305">
            <v>-70724</v>
          </cell>
          <cell r="S305">
            <v>-6063.5083000000013</v>
          </cell>
          <cell r="T305">
            <v>-13575</v>
          </cell>
          <cell r="U305">
            <v>-4931.1938</v>
          </cell>
          <cell r="V305">
            <v>-7667</v>
          </cell>
          <cell r="W305">
            <v>-9441</v>
          </cell>
          <cell r="Y305">
            <v>-208487.27549999999</v>
          </cell>
        </row>
        <row r="306">
          <cell r="C306">
            <v>0</v>
          </cell>
          <cell r="D306">
            <v>0</v>
          </cell>
          <cell r="E306">
            <v>0</v>
          </cell>
          <cell r="F306">
            <v>-37</v>
          </cell>
          <cell r="G306">
            <v>-2</v>
          </cell>
          <cell r="H306">
            <v>0</v>
          </cell>
          <cell r="I306">
            <v>-0.5353</v>
          </cell>
          <cell r="J306">
            <v>-14</v>
          </cell>
          <cell r="K306">
            <v>-69.615600000000001</v>
          </cell>
          <cell r="L306">
            <v>-1</v>
          </cell>
          <cell r="M306">
            <v>-26.258199999999999</v>
          </cell>
          <cell r="N306">
            <v>-3.0981000000000001</v>
          </cell>
          <cell r="P306">
            <v>0</v>
          </cell>
          <cell r="Q306">
            <v>-0.8</v>
          </cell>
          <cell r="R306">
            <v>-17</v>
          </cell>
          <cell r="S306">
            <v>-431.28149999999999</v>
          </cell>
          <cell r="T306">
            <v>-64</v>
          </cell>
          <cell r="U306">
            <v>8.0582999999999991</v>
          </cell>
          <cell r="V306">
            <v>-5</v>
          </cell>
          <cell r="W306">
            <v>-3</v>
          </cell>
          <cell r="Y306">
            <v>-666.53039999999999</v>
          </cell>
        </row>
        <row r="307">
          <cell r="C307">
            <v>0</v>
          </cell>
          <cell r="D307">
            <v>328.71199999999999</v>
          </cell>
          <cell r="E307">
            <v>0</v>
          </cell>
          <cell r="F307">
            <v>0</v>
          </cell>
          <cell r="G307">
            <v>0</v>
          </cell>
          <cell r="H307">
            <v>0</v>
          </cell>
          <cell r="I307">
            <v>0</v>
          </cell>
          <cell r="J307">
            <v>0</v>
          </cell>
          <cell r="K307">
            <v>405.00510000000003</v>
          </cell>
          <cell r="L307">
            <v>0</v>
          </cell>
          <cell r="M307">
            <v>0</v>
          </cell>
          <cell r="N307">
            <v>0</v>
          </cell>
          <cell r="P307">
            <v>-196</v>
          </cell>
          <cell r="Q307">
            <v>0</v>
          </cell>
          <cell r="R307">
            <v>0</v>
          </cell>
          <cell r="S307">
            <v>0</v>
          </cell>
          <cell r="T307">
            <v>0</v>
          </cell>
          <cell r="U307">
            <v>0</v>
          </cell>
          <cell r="V307">
            <v>0</v>
          </cell>
          <cell r="W307">
            <v>0</v>
          </cell>
          <cell r="Y307">
            <v>537.71710000000007</v>
          </cell>
        </row>
        <row r="308">
          <cell r="C308">
            <v>-11930</v>
          </cell>
          <cell r="D308">
            <v>-12193.433000000001</v>
          </cell>
          <cell r="E308">
            <v>-11923</v>
          </cell>
          <cell r="F308">
            <v>-17329</v>
          </cell>
          <cell r="G308">
            <v>-20786</v>
          </cell>
          <cell r="H308">
            <v>-43059</v>
          </cell>
          <cell r="I308">
            <v>-36653.75220000001</v>
          </cell>
          <cell r="J308">
            <v>-31750</v>
          </cell>
          <cell r="K308">
            <v>-21921.178600000003</v>
          </cell>
          <cell r="L308">
            <v>-63536</v>
          </cell>
          <cell r="M308">
            <v>-39208.838599999995</v>
          </cell>
          <cell r="N308">
            <v>-38855.060800000007</v>
          </cell>
          <cell r="P308">
            <v>-28061</v>
          </cell>
          <cell r="Q308">
            <v>-211036.47500000001</v>
          </cell>
          <cell r="R308">
            <v>-141983</v>
          </cell>
          <cell r="S308">
            <v>-103994.24069999999</v>
          </cell>
          <cell r="T308">
            <v>-90833</v>
          </cell>
          <cell r="U308">
            <v>-65384.683800000013</v>
          </cell>
          <cell r="V308">
            <v>-103571</v>
          </cell>
          <cell r="W308">
            <v>-97695</v>
          </cell>
          <cell r="Y308">
            <v>-1191703.6627</v>
          </cell>
        </row>
        <row r="310">
          <cell r="C310">
            <v>636</v>
          </cell>
          <cell r="D310">
            <v>0</v>
          </cell>
          <cell r="E310">
            <v>0</v>
          </cell>
          <cell r="F310">
            <v>-984</v>
          </cell>
          <cell r="G310">
            <v>-424</v>
          </cell>
          <cell r="H310">
            <v>-1056</v>
          </cell>
          <cell r="I310">
            <v>0</v>
          </cell>
          <cell r="J310">
            <v>547</v>
          </cell>
          <cell r="K310">
            <v>-1340.7179000000001</v>
          </cell>
          <cell r="L310">
            <v>-9772</v>
          </cell>
          <cell r="M310">
            <v>711.81099999999992</v>
          </cell>
          <cell r="N310">
            <v>356.1499</v>
          </cell>
          <cell r="P310">
            <v>4</v>
          </cell>
          <cell r="Q310">
            <v>58.635999999999996</v>
          </cell>
          <cell r="R310">
            <v>-4985</v>
          </cell>
          <cell r="S310">
            <v>2166.8471</v>
          </cell>
          <cell r="T310">
            <v>0</v>
          </cell>
          <cell r="U310">
            <v>478.9907</v>
          </cell>
          <cell r="V310">
            <v>2290</v>
          </cell>
          <cell r="W310">
            <v>-345</v>
          </cell>
          <cell r="Y310">
            <v>-11657.2832</v>
          </cell>
        </row>
        <row r="311">
          <cell r="C311">
            <v>-20848</v>
          </cell>
          <cell r="D311">
            <v>-24512.342000000001</v>
          </cell>
          <cell r="E311">
            <v>-20055</v>
          </cell>
          <cell r="F311">
            <v>-25424</v>
          </cell>
          <cell r="G311">
            <v>-36489</v>
          </cell>
          <cell r="H311">
            <v>-91784</v>
          </cell>
          <cell r="I311">
            <v>-76363.539100000009</v>
          </cell>
          <cell r="J311">
            <v>-57676</v>
          </cell>
          <cell r="K311">
            <v>-43506.919500000004</v>
          </cell>
          <cell r="L311">
            <v>-118866</v>
          </cell>
          <cell r="M311">
            <v>-69953.430799999987</v>
          </cell>
          <cell r="N311">
            <v>-76180.286000000007</v>
          </cell>
          <cell r="P311">
            <v>-49832</v>
          </cell>
          <cell r="Q311">
            <v>-411480.26700000005</v>
          </cell>
          <cell r="R311">
            <v>-256895</v>
          </cell>
          <cell r="S311">
            <v>-210956.42319999999</v>
          </cell>
          <cell r="T311">
            <v>-185275</v>
          </cell>
          <cell r="U311">
            <v>-140618.37590000001</v>
          </cell>
          <cell r="V311">
            <v>-216880</v>
          </cell>
          <cell r="W311">
            <v>-171718</v>
          </cell>
          <cell r="Y311">
            <v>-2305313.5835000002</v>
          </cell>
        </row>
        <row r="312">
          <cell r="A312" t="str">
            <v>Total Expenses</v>
          </cell>
          <cell r="C312">
            <v>-80172</v>
          </cell>
          <cell r="D312">
            <v>-82253.153000000006</v>
          </cell>
          <cell r="E312">
            <v>-58028</v>
          </cell>
          <cell r="F312">
            <v>-88347.168000000005</v>
          </cell>
          <cell r="G312">
            <v>-109571</v>
          </cell>
          <cell r="H312">
            <v>-301271</v>
          </cell>
          <cell r="I312">
            <v>-239494.59010000003</v>
          </cell>
          <cell r="J312">
            <v>-208440</v>
          </cell>
          <cell r="K312">
            <v>-140473.7905</v>
          </cell>
          <cell r="L312">
            <v>-302210</v>
          </cell>
          <cell r="M312">
            <v>-221240.39439999999</v>
          </cell>
          <cell r="N312">
            <v>-249927.22340000002</v>
          </cell>
          <cell r="P312">
            <v>-173026</v>
          </cell>
          <cell r="Q312">
            <v>-1149125.777</v>
          </cell>
          <cell r="R312">
            <v>-801055</v>
          </cell>
          <cell r="S312">
            <v>-577281.97609999997</v>
          </cell>
          <cell r="T312">
            <v>-656001</v>
          </cell>
          <cell r="U312">
            <v>-449867.84630000009</v>
          </cell>
          <cell r="V312">
            <v>-672144</v>
          </cell>
          <cell r="W312">
            <v>-647493</v>
          </cell>
          <cell r="Y312">
            <v>-7207422.9188000001</v>
          </cell>
        </row>
        <row r="313">
          <cell r="C313">
            <v>-399</v>
          </cell>
          <cell r="D313">
            <v>-1222.3940000000148</v>
          </cell>
          <cell r="E313">
            <v>-663</v>
          </cell>
          <cell r="F313">
            <v>-13748.168000000005</v>
          </cell>
          <cell r="G313">
            <v>-3925</v>
          </cell>
          <cell r="H313">
            <v>2223</v>
          </cell>
          <cell r="I313">
            <v>-2136.1602000000421</v>
          </cell>
          <cell r="J313">
            <v>-3827</v>
          </cell>
          <cell r="K313">
            <v>-780.20290000000386</v>
          </cell>
          <cell r="L313">
            <v>-8078</v>
          </cell>
          <cell r="M313">
            <v>-1155.2672999999777</v>
          </cell>
          <cell r="N313">
            <v>-3686.0858000000007</v>
          </cell>
          <cell r="P313">
            <v>-7601</v>
          </cell>
          <cell r="Q313">
            <v>-7045.1509999998379</v>
          </cell>
          <cell r="R313">
            <v>-6470</v>
          </cell>
          <cell r="S313">
            <v>-45761.804899999988</v>
          </cell>
          <cell r="T313">
            <v>7584</v>
          </cell>
          <cell r="U313">
            <v>10608.171799999953</v>
          </cell>
          <cell r="V313">
            <v>-7911</v>
          </cell>
          <cell r="W313">
            <v>-17418</v>
          </cell>
          <cell r="Y313">
            <v>-111412.06229999992</v>
          </cell>
        </row>
        <row r="315">
          <cell r="C315">
            <v>-2795</v>
          </cell>
          <cell r="D315">
            <v>-2979.4390000000003</v>
          </cell>
          <cell r="E315">
            <v>-1990</v>
          </cell>
          <cell r="F315">
            <v>-5074</v>
          </cell>
          <cell r="G315">
            <v>-5201</v>
          </cell>
          <cell r="H315">
            <v>-14171</v>
          </cell>
          <cell r="I315">
            <v>-11033.472699999998</v>
          </cell>
          <cell r="J315">
            <v>-8595</v>
          </cell>
          <cell r="K315">
            <v>-7799.1637000000001</v>
          </cell>
          <cell r="L315">
            <v>-11433</v>
          </cell>
          <cell r="M315">
            <v>-11675.7209</v>
          </cell>
          <cell r="N315">
            <v>-11829.720499999999</v>
          </cell>
          <cell r="P315">
            <v>-9402</v>
          </cell>
          <cell r="Q315">
            <v>-48338.345800000003</v>
          </cell>
          <cell r="R315">
            <v>-42468</v>
          </cell>
          <cell r="S315">
            <v>-37979.066500000001</v>
          </cell>
          <cell r="T315">
            <v>-23283</v>
          </cell>
          <cell r="U315">
            <v>-19447.0753</v>
          </cell>
          <cell r="V315">
            <v>-25160</v>
          </cell>
          <cell r="W315">
            <v>-22813</v>
          </cell>
          <cell r="Y315">
            <v>-323467.00440000003</v>
          </cell>
        </row>
        <row r="316">
          <cell r="C316">
            <v>0</v>
          </cell>
          <cell r="D316">
            <v>-2.9999999999998863</v>
          </cell>
          <cell r="E316">
            <v>-358</v>
          </cell>
          <cell r="F316">
            <v>-101</v>
          </cell>
          <cell r="G316">
            <v>-398</v>
          </cell>
          <cell r="H316">
            <v>-3</v>
          </cell>
          <cell r="I316">
            <v>-105.13940000000001</v>
          </cell>
          <cell r="J316">
            <v>-17</v>
          </cell>
          <cell r="K316">
            <v>0</v>
          </cell>
          <cell r="L316">
            <v>-11</v>
          </cell>
          <cell r="M316">
            <v>-298.59949999999998</v>
          </cell>
          <cell r="N316">
            <v>0</v>
          </cell>
          <cell r="P316">
            <v>-4</v>
          </cell>
          <cell r="Q316">
            <v>-9736.9469999999983</v>
          </cell>
          <cell r="R316">
            <v>0</v>
          </cell>
          <cell r="S316">
            <v>-1344.2729999999999</v>
          </cell>
          <cell r="T316">
            <v>-723</v>
          </cell>
          <cell r="U316">
            <v>-17.2531</v>
          </cell>
          <cell r="V316">
            <v>-18</v>
          </cell>
          <cell r="W316">
            <v>-846</v>
          </cell>
          <cell r="Y316">
            <v>-13984.211999999998</v>
          </cell>
        </row>
        <row r="317">
          <cell r="C317">
            <v>-320</v>
          </cell>
          <cell r="D317">
            <v>-971.11700000000008</v>
          </cell>
          <cell r="E317">
            <v>-1502</v>
          </cell>
          <cell r="F317">
            <v>-851</v>
          </cell>
          <cell r="G317">
            <v>-2067</v>
          </cell>
          <cell r="H317">
            <v>-4771</v>
          </cell>
          <cell r="I317">
            <v>-2177.1999999999998</v>
          </cell>
          <cell r="J317">
            <v>-1238</v>
          </cell>
          <cell r="K317">
            <v>0</v>
          </cell>
          <cell r="L317">
            <v>-3577</v>
          </cell>
          <cell r="M317">
            <v>-2053.2790000000005</v>
          </cell>
          <cell r="N317">
            <v>-1693.8554999999999</v>
          </cell>
          <cell r="P317">
            <v>-1989</v>
          </cell>
          <cell r="Q317">
            <v>-10331.132</v>
          </cell>
          <cell r="R317">
            <v>-4662</v>
          </cell>
          <cell r="S317">
            <v>-19584.16</v>
          </cell>
          <cell r="T317">
            <v>-7713</v>
          </cell>
          <cell r="U317">
            <v>-5375.4587999999994</v>
          </cell>
          <cell r="V317">
            <v>-3148</v>
          </cell>
          <cell r="W317">
            <v>-9747</v>
          </cell>
          <cell r="Y317">
            <v>-83771.20229999999</v>
          </cell>
        </row>
        <row r="318">
          <cell r="C318">
            <v>-776</v>
          </cell>
          <cell r="D318">
            <v>-2063.6170000000002</v>
          </cell>
          <cell r="E318">
            <v>-258</v>
          </cell>
          <cell r="F318">
            <v>-1331</v>
          </cell>
          <cell r="G318">
            <v>-1762</v>
          </cell>
          <cell r="H318">
            <v>-2658</v>
          </cell>
          <cell r="I318">
            <v>-2240.1443999999997</v>
          </cell>
          <cell r="J318">
            <v>-4531</v>
          </cell>
          <cell r="K318">
            <v>-2841.6970000000001</v>
          </cell>
          <cell r="L318">
            <v>-6340</v>
          </cell>
          <cell r="M318">
            <v>-5159.6392999999998</v>
          </cell>
          <cell r="N318">
            <v>-4919.6607000000004</v>
          </cell>
          <cell r="P318">
            <v>-5946</v>
          </cell>
          <cell r="Q318">
            <v>-35920.944000000003</v>
          </cell>
          <cell r="R318">
            <v>-17447</v>
          </cell>
          <cell r="S318">
            <v>-6763.4970000000012</v>
          </cell>
          <cell r="T318">
            <v>-12586</v>
          </cell>
          <cell r="U318">
            <v>-7049.8100999999997</v>
          </cell>
          <cell r="V318">
            <v>-13252</v>
          </cell>
          <cell r="W318">
            <v>-14543</v>
          </cell>
          <cell r="Y318">
            <v>-148389.00950000001</v>
          </cell>
        </row>
        <row r="394">
          <cell r="C394" t="str">
            <v>South Canterbury DHB</v>
          </cell>
          <cell r="D394" t="str">
            <v>Tairawhiti DHB</v>
          </cell>
          <cell r="E394" t="str">
            <v>Wairarapa DHB</v>
          </cell>
          <cell r="F394" t="str">
            <v>West Coast DHB</v>
          </cell>
          <cell r="G394" t="str">
            <v>Whanganui DHB</v>
          </cell>
          <cell r="H394" t="str">
            <v>Bay of Plenty DHB</v>
          </cell>
          <cell r="I394" t="str">
            <v>Hawke's Bay DHB</v>
          </cell>
          <cell r="J394" t="str">
            <v>Hutt Valley DHB</v>
          </cell>
          <cell r="K394" t="str">
            <v>Lakes DHB</v>
          </cell>
          <cell r="L394" t="str">
            <v>MidCentral DHB</v>
          </cell>
          <cell r="M394" t="str">
            <v>Nelson Marlborough DHB</v>
          </cell>
          <cell r="N394" t="str">
            <v>Northland DHB</v>
          </cell>
          <cell r="P394" t="str">
            <v>Taranaki DHB</v>
          </cell>
          <cell r="Q394" t="str">
            <v>Auckland DHB</v>
          </cell>
          <cell r="R394" t="str">
            <v>Canterbury DHB</v>
          </cell>
          <cell r="S394" t="str">
            <v>Capital &amp; Coast DHB</v>
          </cell>
          <cell r="T394" t="str">
            <v>Counties Manukau DHB</v>
          </cell>
          <cell r="U394" t="str">
            <v>Southern DHB</v>
          </cell>
          <cell r="V394" t="str">
            <v>Waikato DHB</v>
          </cell>
          <cell r="W394" t="str">
            <v>Waitemata DHB</v>
          </cell>
          <cell r="Y394" t="str">
            <v>All DHBs</v>
          </cell>
        </row>
        <row r="396">
          <cell r="C396">
            <v>84480</v>
          </cell>
          <cell r="D396">
            <v>82297.512000000002</v>
          </cell>
          <cell r="E396">
            <v>57458</v>
          </cell>
          <cell r="F396">
            <v>75921</v>
          </cell>
          <cell r="G396">
            <v>104731</v>
          </cell>
          <cell r="H396">
            <v>309258</v>
          </cell>
          <cell r="I396">
            <v>241448.01730000001</v>
          </cell>
          <cell r="J396">
            <v>210558</v>
          </cell>
          <cell r="K396">
            <v>143754</v>
          </cell>
          <cell r="L396">
            <v>305080</v>
          </cell>
          <cell r="M396">
            <v>225961.76620000001</v>
          </cell>
          <cell r="N396">
            <v>257455.48750000002</v>
          </cell>
          <cell r="P396">
            <v>166026</v>
          </cell>
          <cell r="Q396">
            <v>1178001.0670000003</v>
          </cell>
          <cell r="R396">
            <v>834228</v>
          </cell>
          <cell r="S396">
            <v>547292.06920000003</v>
          </cell>
          <cell r="T396">
            <v>699483</v>
          </cell>
          <cell r="U396">
            <v>466253.20759999997</v>
          </cell>
          <cell r="V396">
            <v>669246</v>
          </cell>
          <cell r="W396">
            <v>661717</v>
          </cell>
          <cell r="Y396">
            <v>7320649.1267999997</v>
          </cell>
        </row>
        <row r="399">
          <cell r="C399">
            <v>-14124</v>
          </cell>
          <cell r="D399">
            <v>-17179</v>
          </cell>
          <cell r="E399">
            <v>-7666</v>
          </cell>
          <cell r="F399">
            <v>-10512</v>
          </cell>
          <cell r="G399">
            <v>-17914</v>
          </cell>
          <cell r="H399">
            <v>-52142</v>
          </cell>
          <cell r="I399">
            <v>-39397.49930000001</v>
          </cell>
          <cell r="J399">
            <v>-42547</v>
          </cell>
          <cell r="K399">
            <v>-26289</v>
          </cell>
          <cell r="L399">
            <v>-49497</v>
          </cell>
          <cell r="M399">
            <v>-37208.287600000003</v>
          </cell>
          <cell r="N399">
            <v>-43149.750499999995</v>
          </cell>
          <cell r="P399">
            <v>-25080</v>
          </cell>
          <cell r="Q399">
            <v>-237309.60800000001</v>
          </cell>
          <cell r="R399">
            <v>-152214</v>
          </cell>
          <cell r="S399">
            <v>-107515.7972</v>
          </cell>
          <cell r="T399">
            <v>-140501</v>
          </cell>
          <cell r="U399">
            <v>-91133.913000000015</v>
          </cell>
          <cell r="V399">
            <v>-125280</v>
          </cell>
          <cell r="W399">
            <v>-126090</v>
          </cell>
          <cell r="Y399">
            <v>-1362749.8556000001</v>
          </cell>
        </row>
        <row r="400">
          <cell r="C400">
            <v>-22841</v>
          </cell>
          <cell r="D400">
            <v>-18435</v>
          </cell>
          <cell r="E400">
            <v>-14304</v>
          </cell>
          <cell r="F400">
            <v>-23784</v>
          </cell>
          <cell r="G400">
            <v>-27873</v>
          </cell>
          <cell r="H400">
            <v>-77509</v>
          </cell>
          <cell r="I400">
            <v>-59647.802800000005</v>
          </cell>
          <cell r="J400">
            <v>-52474</v>
          </cell>
          <cell r="K400">
            <v>-35183</v>
          </cell>
          <cell r="L400">
            <v>-67982</v>
          </cell>
          <cell r="M400">
            <v>-48888.768699999993</v>
          </cell>
          <cell r="N400">
            <v>-66312.037299999996</v>
          </cell>
          <cell r="P400">
            <v>-39639</v>
          </cell>
          <cell r="Q400">
            <v>-240346.38800000001</v>
          </cell>
          <cell r="R400">
            <v>-231389</v>
          </cell>
          <cell r="S400">
            <v>-138509.5306</v>
          </cell>
          <cell r="T400">
            <v>-177998</v>
          </cell>
          <cell r="U400">
            <v>-112165.54749999999</v>
          </cell>
          <cell r="V400">
            <v>-166102</v>
          </cell>
          <cell r="W400">
            <v>-171904</v>
          </cell>
          <cell r="Y400">
            <v>-1793287.0748999999</v>
          </cell>
        </row>
        <row r="401">
          <cell r="C401">
            <v>-6389</v>
          </cell>
          <cell r="D401">
            <v>-9491</v>
          </cell>
          <cell r="E401">
            <v>-6269</v>
          </cell>
          <cell r="F401">
            <v>-8768</v>
          </cell>
          <cell r="G401">
            <v>-8810</v>
          </cell>
          <cell r="H401">
            <v>-26131</v>
          </cell>
          <cell r="I401">
            <v>-24989.449499999995</v>
          </cell>
          <cell r="J401">
            <v>-26273</v>
          </cell>
          <cell r="K401">
            <v>-12226.881100000001</v>
          </cell>
          <cell r="L401">
            <v>-24408</v>
          </cell>
          <cell r="M401">
            <v>-31524.6495</v>
          </cell>
          <cell r="N401">
            <v>-28425.592000000001</v>
          </cell>
          <cell r="P401">
            <v>-15277</v>
          </cell>
          <cell r="Q401">
            <v>-122211.673</v>
          </cell>
          <cell r="R401">
            <v>-88334</v>
          </cell>
          <cell r="S401">
            <v>-47143.604800000001</v>
          </cell>
          <cell r="T401">
            <v>-64581</v>
          </cell>
          <cell r="U401">
            <v>-44563.121100000004</v>
          </cell>
          <cell r="V401">
            <v>-58714</v>
          </cell>
          <cell r="W401">
            <v>-85023</v>
          </cell>
          <cell r="Y401">
            <v>-739552.97100000002</v>
          </cell>
        </row>
        <row r="402">
          <cell r="C402">
            <v>-2335</v>
          </cell>
          <cell r="D402">
            <v>-827.55</v>
          </cell>
          <cell r="E402">
            <v>-584</v>
          </cell>
          <cell r="F402">
            <v>-2086</v>
          </cell>
          <cell r="G402">
            <v>-793</v>
          </cell>
          <cell r="H402">
            <v>-6065</v>
          </cell>
          <cell r="I402">
            <v>-6168.4831999999997</v>
          </cell>
          <cell r="J402">
            <v>-5826</v>
          </cell>
          <cell r="K402">
            <v>-2715</v>
          </cell>
          <cell r="L402">
            <v>-1878</v>
          </cell>
          <cell r="M402">
            <v>-4483.6612999999998</v>
          </cell>
          <cell r="N402">
            <v>-3695.7557999999995</v>
          </cell>
          <cell r="P402">
            <v>-3846</v>
          </cell>
          <cell r="Q402">
            <v>-8449.77</v>
          </cell>
          <cell r="R402">
            <v>-14918</v>
          </cell>
          <cell r="S402">
            <v>-7930.5042000000003</v>
          </cell>
          <cell r="T402">
            <v>-17909</v>
          </cell>
          <cell r="U402">
            <v>-9110.506800000001</v>
          </cell>
          <cell r="V402">
            <v>-13212</v>
          </cell>
          <cell r="W402">
            <v>-6186</v>
          </cell>
          <cell r="Y402">
            <v>-119019.2313</v>
          </cell>
        </row>
        <row r="403">
          <cell r="C403">
            <v>-7577</v>
          </cell>
          <cell r="D403">
            <v>-7104</v>
          </cell>
          <cell r="E403">
            <v>-4561</v>
          </cell>
          <cell r="F403">
            <v>-6494</v>
          </cell>
          <cell r="G403">
            <v>-8265</v>
          </cell>
          <cell r="H403">
            <v>-21932</v>
          </cell>
          <cell r="I403">
            <v>-22818.656299999999</v>
          </cell>
          <cell r="J403">
            <v>-20978</v>
          </cell>
          <cell r="K403">
            <v>-13132</v>
          </cell>
          <cell r="L403">
            <v>-18317</v>
          </cell>
          <cell r="M403">
            <v>-20336.168900000001</v>
          </cell>
          <cell r="N403">
            <v>-22884.7336</v>
          </cell>
          <cell r="P403">
            <v>-16776</v>
          </cell>
          <cell r="Q403">
            <v>-106293.705</v>
          </cell>
          <cell r="R403">
            <v>-60659</v>
          </cell>
          <cell r="S403">
            <v>-46347.452799999999</v>
          </cell>
          <cell r="T403">
            <v>-53787</v>
          </cell>
          <cell r="U403">
            <v>-37692.765999999996</v>
          </cell>
          <cell r="V403">
            <v>-61111</v>
          </cell>
          <cell r="W403">
            <v>-52437</v>
          </cell>
          <cell r="Y403">
            <v>-609503.48259999999</v>
          </cell>
        </row>
        <row r="404">
          <cell r="A404" t="str">
            <v>Total Personnel Expenses</v>
          </cell>
          <cell r="C404">
            <v>-53266</v>
          </cell>
          <cell r="D404">
            <v>-53036.55</v>
          </cell>
          <cell r="E404">
            <v>-33384</v>
          </cell>
          <cell r="F404">
            <v>-51644</v>
          </cell>
          <cell r="G404">
            <v>-63655</v>
          </cell>
          <cell r="H404">
            <v>-183779</v>
          </cell>
          <cell r="I404">
            <v>-153021.89110000001</v>
          </cell>
          <cell r="J404">
            <v>-148098</v>
          </cell>
          <cell r="K404">
            <v>-89545.881099999999</v>
          </cell>
          <cell r="L404">
            <v>-162082</v>
          </cell>
          <cell r="M404">
            <v>-142441.53599999999</v>
          </cell>
          <cell r="N404">
            <v>-164467.86920000002</v>
          </cell>
          <cell r="P404">
            <v>-100618</v>
          </cell>
          <cell r="Q404">
            <v>-714611.14399999997</v>
          </cell>
          <cell r="R404">
            <v>-547514</v>
          </cell>
          <cell r="S404">
            <v>-347446.88959999999</v>
          </cell>
          <cell r="T404">
            <v>-446676</v>
          </cell>
          <cell r="U404">
            <v>-294665.85439999995</v>
          </cell>
          <cell r="V404">
            <v>-424419</v>
          </cell>
          <cell r="W404">
            <v>-441640</v>
          </cell>
          <cell r="Y404">
            <v>-4616012.6153999995</v>
          </cell>
        </row>
        <row r="406">
          <cell r="C406">
            <v>-2773</v>
          </cell>
          <cell r="D406">
            <v>-2075.3090000000002</v>
          </cell>
          <cell r="E406">
            <v>-1887</v>
          </cell>
          <cell r="F406">
            <v>-9098</v>
          </cell>
          <cell r="G406">
            <v>-4863</v>
          </cell>
          <cell r="H406">
            <v>-6534</v>
          </cell>
          <cell r="I406">
            <v>-4298.2779</v>
          </cell>
          <cell r="J406">
            <v>-1402</v>
          </cell>
          <cell r="K406">
            <v>-3202</v>
          </cell>
          <cell r="L406">
            <v>-3002</v>
          </cell>
          <cell r="M406">
            <v>-2481.2033999999999</v>
          </cell>
          <cell r="N406">
            <v>-3743.8128999999999</v>
          </cell>
          <cell r="P406">
            <v>-3363</v>
          </cell>
          <cell r="Q406">
            <v>-7535.7370000000001</v>
          </cell>
          <cell r="R406">
            <v>-9103</v>
          </cell>
          <cell r="S406">
            <v>-4958.7439000000004</v>
          </cell>
          <cell r="T406">
            <v>-6525</v>
          </cell>
          <cell r="U406">
            <v>-9994.1349000000009</v>
          </cell>
          <cell r="V406">
            <v>-8231</v>
          </cell>
          <cell r="W406">
            <v>-7388</v>
          </cell>
          <cell r="Y406">
            <v>-102458.219</v>
          </cell>
        </row>
        <row r="407">
          <cell r="C407">
            <v>-18</v>
          </cell>
          <cell r="D407">
            <v>-13.742000000000001</v>
          </cell>
          <cell r="E407">
            <v>-97</v>
          </cell>
          <cell r="F407">
            <v>-81</v>
          </cell>
          <cell r="G407">
            <v>-30</v>
          </cell>
          <cell r="H407">
            <v>-833</v>
          </cell>
          <cell r="I407">
            <v>-29.902300000000004</v>
          </cell>
          <cell r="J407">
            <v>-95</v>
          </cell>
          <cell r="K407">
            <v>-3</v>
          </cell>
          <cell r="L407">
            <v>-558</v>
          </cell>
          <cell r="M407">
            <v>-43.631300000000003</v>
          </cell>
          <cell r="N407">
            <v>-40.915800000000004</v>
          </cell>
          <cell r="P407">
            <v>0</v>
          </cell>
          <cell r="Q407">
            <v>-2120.2260000000001</v>
          </cell>
          <cell r="R407">
            <v>-2361</v>
          </cell>
          <cell r="S407">
            <v>-1445.1514999999999</v>
          </cell>
          <cell r="T407">
            <v>-1639</v>
          </cell>
          <cell r="U407">
            <v>-50.8474</v>
          </cell>
          <cell r="V407">
            <v>-1140</v>
          </cell>
          <cell r="W407">
            <v>-2222</v>
          </cell>
          <cell r="Y407">
            <v>-12821.416300000001</v>
          </cell>
        </row>
        <row r="408">
          <cell r="C408">
            <v>-85</v>
          </cell>
          <cell r="D408">
            <v>-68.88</v>
          </cell>
          <cell r="E408">
            <v>-47</v>
          </cell>
          <cell r="F408">
            <v>-117</v>
          </cell>
          <cell r="G408">
            <v>-241</v>
          </cell>
          <cell r="H408">
            <v>-234</v>
          </cell>
          <cell r="I408">
            <v>-1323.2753</v>
          </cell>
          <cell r="J408">
            <v>-327</v>
          </cell>
          <cell r="K408">
            <v>-37</v>
          </cell>
          <cell r="L408">
            <v>-73</v>
          </cell>
          <cell r="M408">
            <v>-25.249699999999997</v>
          </cell>
          <cell r="N408">
            <v>-592.05269999999996</v>
          </cell>
          <cell r="P408">
            <v>-118</v>
          </cell>
          <cell r="Q408">
            <v>-1215.972</v>
          </cell>
          <cell r="R408">
            <v>-441</v>
          </cell>
          <cell r="S408">
            <v>-410.63029999999992</v>
          </cell>
          <cell r="T408">
            <v>-493</v>
          </cell>
          <cell r="U408">
            <v>-333.60559999999992</v>
          </cell>
          <cell r="V408">
            <v>-1635</v>
          </cell>
          <cell r="W408">
            <v>-776</v>
          </cell>
          <cell r="Y408">
            <v>-8593.6656000000003</v>
          </cell>
        </row>
        <row r="409">
          <cell r="C409">
            <v>-109</v>
          </cell>
          <cell r="D409">
            <v>-8.5830000000000002</v>
          </cell>
          <cell r="E409">
            <v>-139</v>
          </cell>
          <cell r="F409">
            <v>-424</v>
          </cell>
          <cell r="G409">
            <v>-247</v>
          </cell>
          <cell r="H409">
            <v>-388</v>
          </cell>
          <cell r="I409">
            <v>-57.736499999999992</v>
          </cell>
          <cell r="J409">
            <v>-392</v>
          </cell>
          <cell r="K409">
            <v>-130</v>
          </cell>
          <cell r="L409">
            <v>-211</v>
          </cell>
          <cell r="M409">
            <v>-223.66440000000003</v>
          </cell>
          <cell r="N409">
            <v>-105.35350000000005</v>
          </cell>
          <cell r="P409">
            <v>-146</v>
          </cell>
          <cell r="Q409">
            <v>-4982.4110000000001</v>
          </cell>
          <cell r="R409">
            <v>-680</v>
          </cell>
          <cell r="S409">
            <v>-3511.3397999999997</v>
          </cell>
          <cell r="T409">
            <v>-3130</v>
          </cell>
          <cell r="U409">
            <v>-144.3297</v>
          </cell>
          <cell r="V409">
            <v>-3638</v>
          </cell>
          <cell r="W409">
            <v>-1334</v>
          </cell>
          <cell r="Y409">
            <v>-20001.4179</v>
          </cell>
        </row>
        <row r="410">
          <cell r="C410">
            <v>-6265</v>
          </cell>
          <cell r="D410">
            <v>-3466.8310000000001</v>
          </cell>
          <cell r="E410">
            <v>-3591</v>
          </cell>
          <cell r="F410">
            <v>-4005</v>
          </cell>
          <cell r="G410">
            <v>-5087</v>
          </cell>
          <cell r="H410">
            <v>-15537</v>
          </cell>
          <cell r="I410">
            <v>-4986.7235999999994</v>
          </cell>
          <cell r="J410">
            <v>-3888</v>
          </cell>
          <cell r="K410">
            <v>-6670</v>
          </cell>
          <cell r="L410">
            <v>-14264</v>
          </cell>
          <cell r="M410">
            <v>-8964.3194999999996</v>
          </cell>
          <cell r="N410">
            <v>-7930.7407000000003</v>
          </cell>
          <cell r="P410">
            <v>-20542</v>
          </cell>
          <cell r="Q410">
            <v>-33558.582999999999</v>
          </cell>
          <cell r="R410">
            <v>-7216</v>
          </cell>
          <cell r="S410">
            <v>-8867.2348999999995</v>
          </cell>
          <cell r="T410">
            <v>-23966</v>
          </cell>
          <cell r="U410">
            <v>-6068.6954999999998</v>
          </cell>
          <cell r="V410">
            <v>-28504</v>
          </cell>
          <cell r="W410">
            <v>-10541</v>
          </cell>
          <cell r="Y410">
            <v>-223919.12820000001</v>
          </cell>
        </row>
        <row r="411">
          <cell r="C411">
            <v>-15</v>
          </cell>
          <cell r="D411">
            <v>0</v>
          </cell>
          <cell r="E411">
            <v>-83</v>
          </cell>
          <cell r="F411">
            <v>-300</v>
          </cell>
          <cell r="G411">
            <v>0</v>
          </cell>
          <cell r="H411">
            <v>-1</v>
          </cell>
          <cell r="I411">
            <v>-141.47689999999966</v>
          </cell>
          <cell r="J411">
            <v>-182</v>
          </cell>
          <cell r="K411">
            <v>-255</v>
          </cell>
          <cell r="L411">
            <v>-11</v>
          </cell>
          <cell r="M411">
            <v>-59.008700000000317</v>
          </cell>
          <cell r="N411">
            <v>-1550.5901000000013</v>
          </cell>
          <cell r="P411">
            <v>-1</v>
          </cell>
          <cell r="Q411">
            <v>-4390.3500000000004</v>
          </cell>
          <cell r="R411">
            <v>0</v>
          </cell>
          <cell r="S411">
            <v>-2242.3006999999998</v>
          </cell>
          <cell r="T411">
            <v>-18398</v>
          </cell>
          <cell r="U411">
            <v>-1125.836000000003</v>
          </cell>
          <cell r="V411">
            <v>-2766</v>
          </cell>
          <cell r="W411">
            <v>-18006</v>
          </cell>
          <cell r="Y411">
            <v>-49527.562400000003</v>
          </cell>
        </row>
        <row r="412">
          <cell r="A412" t="str">
            <v>Total Outsourced Service Expenses</v>
          </cell>
          <cell r="C412">
            <v>-9265</v>
          </cell>
          <cell r="D412">
            <v>-5633.3450000000012</v>
          </cell>
          <cell r="E412">
            <v>-5844</v>
          </cell>
          <cell r="F412">
            <v>-14025</v>
          </cell>
          <cell r="G412">
            <v>-10468</v>
          </cell>
          <cell r="H412">
            <v>-23527</v>
          </cell>
          <cell r="I412">
            <v>-10837.3925</v>
          </cell>
          <cell r="J412">
            <v>-6286</v>
          </cell>
          <cell r="K412">
            <v>-10297</v>
          </cell>
          <cell r="L412">
            <v>-18119</v>
          </cell>
          <cell r="M412">
            <v>-11797.076999999999</v>
          </cell>
          <cell r="N412">
            <v>-13963.465700000001</v>
          </cell>
          <cell r="P412">
            <v>-24170</v>
          </cell>
          <cell r="Q412">
            <v>-53803.278999999995</v>
          </cell>
          <cell r="R412">
            <v>-19801</v>
          </cell>
          <cell r="S412">
            <v>-21435.401099999999</v>
          </cell>
          <cell r="T412">
            <v>-54151</v>
          </cell>
          <cell r="U412">
            <v>-17717.449100000005</v>
          </cell>
          <cell r="V412">
            <v>-45914</v>
          </cell>
          <cell r="W412">
            <v>-40267</v>
          </cell>
          <cell r="Y412">
            <v>-417321.40940000006</v>
          </cell>
        </row>
        <row r="414">
          <cell r="C414">
            <v>-62531</v>
          </cell>
          <cell r="D414">
            <v>-58669.895000000004</v>
          </cell>
          <cell r="E414">
            <v>-39228</v>
          </cell>
          <cell r="F414">
            <v>-65669</v>
          </cell>
          <cell r="G414">
            <v>-74123</v>
          </cell>
          <cell r="H414">
            <v>-207306</v>
          </cell>
          <cell r="I414">
            <v>-163859.2836</v>
          </cell>
          <cell r="J414">
            <v>-154384</v>
          </cell>
          <cell r="K414">
            <v>-99842.881099999999</v>
          </cell>
          <cell r="L414">
            <v>-180201</v>
          </cell>
          <cell r="M414">
            <v>-154238.61299999998</v>
          </cell>
          <cell r="N414">
            <v>-178431.33490000002</v>
          </cell>
          <cell r="P414">
            <v>-124788</v>
          </cell>
          <cell r="Q414">
            <v>-768414.42299999995</v>
          </cell>
          <cell r="R414">
            <v>-567315</v>
          </cell>
          <cell r="S414">
            <v>-368882.29070000001</v>
          </cell>
          <cell r="T414">
            <v>-500827</v>
          </cell>
          <cell r="U414">
            <v>-312383.30349999998</v>
          </cell>
          <cell r="V414">
            <v>-470333</v>
          </cell>
          <cell r="W414">
            <v>-481907</v>
          </cell>
          <cell r="Y414">
            <v>-5033334.0248000007</v>
          </cell>
        </row>
        <row r="416">
          <cell r="C416">
            <v>-156</v>
          </cell>
          <cell r="D416">
            <v>-3224.739</v>
          </cell>
          <cell r="E416">
            <v>-2964</v>
          </cell>
          <cell r="F416">
            <v>-1306</v>
          </cell>
          <cell r="G416">
            <v>-4622</v>
          </cell>
          <cell r="H416">
            <v>-17363</v>
          </cell>
          <cell r="I416">
            <v>-9964.5564000000013</v>
          </cell>
          <cell r="J416">
            <v>-9015</v>
          </cell>
          <cell r="K416">
            <v>-9176</v>
          </cell>
          <cell r="L416">
            <v>-14957</v>
          </cell>
          <cell r="M416">
            <v>-10319.914500000001</v>
          </cell>
          <cell r="N416">
            <v>-13913.195400000001</v>
          </cell>
          <cell r="P416">
            <v>-8288</v>
          </cell>
          <cell r="Q416">
            <v>-79317.820999999982</v>
          </cell>
          <cell r="R416">
            <v>-46054</v>
          </cell>
          <cell r="S416">
            <v>-41823.870499999997</v>
          </cell>
          <cell r="T416">
            <v>-39530</v>
          </cell>
          <cell r="U416">
            <v>-28290.2664</v>
          </cell>
          <cell r="V416">
            <v>-48901</v>
          </cell>
          <cell r="W416">
            <v>-23280</v>
          </cell>
          <cell r="Y416">
            <v>-412466.36320000002</v>
          </cell>
        </row>
        <row r="417">
          <cell r="C417">
            <v>-3403</v>
          </cell>
          <cell r="D417">
            <v>-426.221</v>
          </cell>
          <cell r="E417">
            <v>-210</v>
          </cell>
          <cell r="F417">
            <v>-31</v>
          </cell>
          <cell r="G417">
            <v>-568</v>
          </cell>
          <cell r="H417">
            <v>-1041</v>
          </cell>
          <cell r="I417">
            <v>-2746.2563</v>
          </cell>
          <cell r="J417">
            <v>-1846</v>
          </cell>
          <cell r="K417">
            <v>-184</v>
          </cell>
          <cell r="L417">
            <v>-972</v>
          </cell>
          <cell r="M417">
            <v>-753.68389999999988</v>
          </cell>
          <cell r="N417">
            <v>-2266.1430999999998</v>
          </cell>
          <cell r="P417">
            <v>-1218</v>
          </cell>
          <cell r="Q417">
            <v>-41202.431999999993</v>
          </cell>
          <cell r="R417">
            <v>-14461</v>
          </cell>
          <cell r="S417">
            <v>-7324.2979000000005</v>
          </cell>
          <cell r="T417">
            <v>-6691</v>
          </cell>
          <cell r="U417">
            <v>-1662.8305</v>
          </cell>
          <cell r="V417">
            <v>-8677</v>
          </cell>
          <cell r="W417">
            <v>-4833</v>
          </cell>
          <cell r="Y417">
            <v>-100516.86469999999</v>
          </cell>
        </row>
        <row r="418">
          <cell r="C418">
            <v>-2042</v>
          </cell>
          <cell r="D418">
            <v>-2467.9169999999999</v>
          </cell>
          <cell r="E418">
            <v>-2202</v>
          </cell>
          <cell r="F418">
            <v>-1896</v>
          </cell>
          <cell r="G418">
            <v>-3223</v>
          </cell>
          <cell r="H418">
            <v>-10779</v>
          </cell>
          <cell r="I418">
            <v>-5235.6335999999992</v>
          </cell>
          <cell r="J418">
            <v>-5838</v>
          </cell>
          <cell r="K418">
            <v>-3748</v>
          </cell>
          <cell r="L418">
            <v>-10257</v>
          </cell>
          <cell r="M418">
            <v>-5543.3517000000002</v>
          </cell>
          <cell r="N418">
            <v>-7471.8429999999998</v>
          </cell>
          <cell r="P418">
            <v>-2044</v>
          </cell>
          <cell r="Q418">
            <v>-13287.419</v>
          </cell>
          <cell r="R418">
            <v>-9628</v>
          </cell>
          <cell r="S418">
            <v>-21346.642400000001</v>
          </cell>
          <cell r="T418">
            <v>-19369</v>
          </cell>
          <cell r="U418">
            <v>-14254.0996</v>
          </cell>
          <cell r="V418">
            <v>-19807</v>
          </cell>
          <cell r="W418">
            <v>-14134</v>
          </cell>
          <cell r="Y418">
            <v>-174573.9063</v>
          </cell>
        </row>
        <row r="419">
          <cell r="C419">
            <v>-500</v>
          </cell>
          <cell r="D419">
            <v>-358.08799999999997</v>
          </cell>
          <cell r="E419">
            <v>-333</v>
          </cell>
          <cell r="F419">
            <v>-367</v>
          </cell>
          <cell r="G419">
            <v>-863</v>
          </cell>
          <cell r="H419">
            <v>-1390</v>
          </cell>
          <cell r="I419">
            <v>-1358.3155000000002</v>
          </cell>
          <cell r="J419">
            <v>-1008</v>
          </cell>
          <cell r="K419">
            <v>-748</v>
          </cell>
          <cell r="L419">
            <v>-1894</v>
          </cell>
          <cell r="M419">
            <v>-1891.0591999999999</v>
          </cell>
          <cell r="N419">
            <v>-1002.8391</v>
          </cell>
          <cell r="P419">
            <v>-1059</v>
          </cell>
          <cell r="Q419">
            <v>-2246.2820000000002</v>
          </cell>
          <cell r="R419">
            <v>-2929</v>
          </cell>
          <cell r="S419">
            <v>-4287.3000999999995</v>
          </cell>
          <cell r="T419">
            <v>-2969</v>
          </cell>
          <cell r="U419">
            <v>-2395.8348999999998</v>
          </cell>
          <cell r="V419">
            <v>-2127</v>
          </cell>
          <cell r="W419">
            <v>-3913</v>
          </cell>
          <cell r="Y419">
            <v>-33639.718800000002</v>
          </cell>
        </row>
        <row r="420">
          <cell r="C420">
            <v>-1347</v>
          </cell>
          <cell r="D420">
            <v>-1243.6770000000001</v>
          </cell>
          <cell r="E420">
            <v>-1141</v>
          </cell>
          <cell r="F420">
            <v>-1007</v>
          </cell>
          <cell r="G420">
            <v>-2098</v>
          </cell>
          <cell r="H420">
            <v>-7482</v>
          </cell>
          <cell r="I420">
            <v>-4512.3494000000001</v>
          </cell>
          <cell r="J420">
            <v>-3453</v>
          </cell>
          <cell r="K420">
            <v>-1914</v>
          </cell>
          <cell r="L420">
            <v>-3399</v>
          </cell>
          <cell r="M420">
            <v>-5552.9490000000005</v>
          </cell>
          <cell r="N420">
            <v>-4539.5173999999997</v>
          </cell>
          <cell r="P420">
            <v>-2405</v>
          </cell>
          <cell r="Q420">
            <v>-25387.566000000003</v>
          </cell>
          <cell r="R420">
            <v>-14494</v>
          </cell>
          <cell r="S420">
            <v>-15619.142700000002</v>
          </cell>
          <cell r="T420">
            <v>-14670</v>
          </cell>
          <cell r="U420">
            <v>-9982.0748000000003</v>
          </cell>
          <cell r="V420">
            <v>-15962</v>
          </cell>
          <cell r="W420">
            <v>-10751</v>
          </cell>
          <cell r="Y420">
            <v>-146960.2763</v>
          </cell>
        </row>
        <row r="421">
          <cell r="C421">
            <v>-3190</v>
          </cell>
          <cell r="D421">
            <v>-2575.7380000000003</v>
          </cell>
          <cell r="E421">
            <v>-921</v>
          </cell>
          <cell r="F421">
            <v>-1895</v>
          </cell>
          <cell r="G421">
            <v>-2874</v>
          </cell>
          <cell r="H421">
            <v>-11653</v>
          </cell>
          <cell r="I421">
            <v>-9010.184299999999</v>
          </cell>
          <cell r="J421">
            <v>-3160</v>
          </cell>
          <cell r="K421">
            <v>-4566</v>
          </cell>
          <cell r="L421">
            <v>-12470</v>
          </cell>
          <cell r="M421">
            <v>-6130.4313000000002</v>
          </cell>
          <cell r="N421">
            <v>-4131.1805999999997</v>
          </cell>
          <cell r="P421">
            <v>-3937</v>
          </cell>
          <cell r="Q421">
            <v>-42734.414999999994</v>
          </cell>
          <cell r="R421">
            <v>-19075</v>
          </cell>
          <cell r="S421">
            <v>-18180.474400000003</v>
          </cell>
          <cell r="T421">
            <v>-13109</v>
          </cell>
          <cell r="U421">
            <v>-18431.746299999999</v>
          </cell>
          <cell r="V421">
            <v>-23761</v>
          </cell>
          <cell r="W421">
            <v>-16232</v>
          </cell>
          <cell r="Y421">
            <v>-218037.16989999998</v>
          </cell>
        </row>
        <row r="422">
          <cell r="C422">
            <v>-322</v>
          </cell>
          <cell r="D422">
            <v>-2778.8029999999999</v>
          </cell>
          <cell r="E422">
            <v>-673</v>
          </cell>
          <cell r="F422">
            <v>-1204</v>
          </cell>
          <cell r="G422">
            <v>-1404</v>
          </cell>
          <cell r="H422">
            <v>-2110</v>
          </cell>
          <cell r="I422">
            <v>-7104.9647999999997</v>
          </cell>
          <cell r="J422">
            <v>-2684</v>
          </cell>
          <cell r="K422">
            <v>-897</v>
          </cell>
          <cell r="L422">
            <v>-2243</v>
          </cell>
          <cell r="M422">
            <v>-3810.7934</v>
          </cell>
          <cell r="N422">
            <v>-6976.2160999999996</v>
          </cell>
          <cell r="P422">
            <v>-2748</v>
          </cell>
          <cell r="Q422">
            <v>-7736.4890000000005</v>
          </cell>
          <cell r="R422">
            <v>-10895</v>
          </cell>
          <cell r="S422">
            <v>-3440.1815999999999</v>
          </cell>
          <cell r="T422">
            <v>-5428</v>
          </cell>
          <cell r="U422">
            <v>-2857.7852999999996</v>
          </cell>
          <cell r="V422">
            <v>-3448</v>
          </cell>
          <cell r="W422">
            <v>-4497</v>
          </cell>
          <cell r="Y422">
            <v>-73258.233200000002</v>
          </cell>
        </row>
        <row r="423">
          <cell r="C423">
            <v>-10960</v>
          </cell>
          <cell r="D423">
            <v>-13075.183000000001</v>
          </cell>
          <cell r="E423">
            <v>-8444</v>
          </cell>
          <cell r="F423">
            <v>-7706</v>
          </cell>
          <cell r="G423">
            <v>-15652</v>
          </cell>
          <cell r="H423">
            <v>-51737</v>
          </cell>
          <cell r="I423">
            <v>-39932.260300000009</v>
          </cell>
          <cell r="J423">
            <v>-27004</v>
          </cell>
          <cell r="K423">
            <v>-21233</v>
          </cell>
          <cell r="L423">
            <v>-46192</v>
          </cell>
          <cell r="M423">
            <v>-34002.182999999997</v>
          </cell>
          <cell r="N423">
            <v>-40300.934700000005</v>
          </cell>
          <cell r="P423">
            <v>-21699</v>
          </cell>
          <cell r="Q423">
            <v>-211912.424</v>
          </cell>
          <cell r="R423">
            <v>-117536</v>
          </cell>
          <cell r="S423">
            <v>-112021.9096</v>
          </cell>
          <cell r="T423">
            <v>-101766</v>
          </cell>
          <cell r="U423">
            <v>-77874.637799999997</v>
          </cell>
          <cell r="V423">
            <v>-122683</v>
          </cell>
          <cell r="W423">
            <v>-77640</v>
          </cell>
          <cell r="Y423">
            <v>-1159371.5323999999</v>
          </cell>
        </row>
        <row r="425">
          <cell r="C425">
            <v>-2568</v>
          </cell>
          <cell r="D425">
            <v>-2903.76</v>
          </cell>
          <cell r="E425">
            <v>-2303</v>
          </cell>
          <cell r="F425">
            <v>-3586</v>
          </cell>
          <cell r="G425">
            <v>-3683</v>
          </cell>
          <cell r="H425">
            <v>-9365</v>
          </cell>
          <cell r="I425">
            <v>-6535.6346999999996</v>
          </cell>
          <cell r="J425">
            <v>-3715</v>
          </cell>
          <cell r="K425">
            <v>-4447</v>
          </cell>
          <cell r="L425">
            <v>-10733</v>
          </cell>
          <cell r="M425">
            <v>-6798.7277000000004</v>
          </cell>
          <cell r="N425">
            <v>-5554.2696999999998</v>
          </cell>
          <cell r="P425">
            <v>-3209</v>
          </cell>
          <cell r="Q425">
            <v>-25240.037</v>
          </cell>
          <cell r="R425">
            <v>-17210</v>
          </cell>
          <cell r="S425">
            <v>-13494.4928</v>
          </cell>
          <cell r="T425">
            <v>-18065</v>
          </cell>
          <cell r="U425">
            <v>-12432.381600000001</v>
          </cell>
          <cell r="V425">
            <v>-16117</v>
          </cell>
          <cell r="W425">
            <v>-23200</v>
          </cell>
          <cell r="Y425">
            <v>-191160.30350000001</v>
          </cell>
        </row>
        <row r="426">
          <cell r="C426">
            <v>-3330</v>
          </cell>
          <cell r="D426">
            <v>-3043.24</v>
          </cell>
          <cell r="E426">
            <v>-2494</v>
          </cell>
          <cell r="F426">
            <v>-4835</v>
          </cell>
          <cell r="G426">
            <v>-6271</v>
          </cell>
          <cell r="H426">
            <v>-15602</v>
          </cell>
          <cell r="I426">
            <v>-14845.730100000001</v>
          </cell>
          <cell r="J426">
            <v>-10958</v>
          </cell>
          <cell r="K426">
            <v>-5179</v>
          </cell>
          <cell r="L426">
            <v>-15758</v>
          </cell>
          <cell r="M426">
            <v>-12273.757200000002</v>
          </cell>
          <cell r="N426">
            <v>-12758.928400000001</v>
          </cell>
          <cell r="P426">
            <v>-8861</v>
          </cell>
          <cell r="Q426">
            <v>-49128.351999999999</v>
          </cell>
          <cell r="R426">
            <v>-20547</v>
          </cell>
          <cell r="S426">
            <v>-19575.092199999992</v>
          </cell>
          <cell r="T426">
            <v>-25588</v>
          </cell>
          <cell r="U426">
            <v>-18952.931499999999</v>
          </cell>
          <cell r="V426">
            <v>-33078</v>
          </cell>
          <cell r="W426">
            <v>-26321</v>
          </cell>
          <cell r="Y426">
            <v>-309400.03139999998</v>
          </cell>
        </row>
        <row r="427">
          <cell r="C427">
            <v>-1154</v>
          </cell>
          <cell r="D427">
            <v>-685.154</v>
          </cell>
          <cell r="E427">
            <v>-848</v>
          </cell>
          <cell r="F427">
            <v>-1198</v>
          </cell>
          <cell r="G427">
            <v>-834</v>
          </cell>
          <cell r="H427">
            <v>-1964</v>
          </cell>
          <cell r="I427">
            <v>-1939.7343000000001</v>
          </cell>
          <cell r="J427">
            <v>-1400</v>
          </cell>
          <cell r="K427">
            <v>-1150</v>
          </cell>
          <cell r="L427">
            <v>-2604</v>
          </cell>
          <cell r="M427">
            <v>-2029.2767999999999</v>
          </cell>
          <cell r="N427">
            <v>-4203.2584999999999</v>
          </cell>
          <cell r="P427">
            <v>-1427</v>
          </cell>
          <cell r="Q427">
            <v>-9308.3680000000004</v>
          </cell>
          <cell r="R427">
            <v>-1441</v>
          </cell>
          <cell r="S427">
            <v>-3195.3986999999997</v>
          </cell>
          <cell r="T427">
            <v>-3735</v>
          </cell>
          <cell r="U427">
            <v>-3753.4207999999994</v>
          </cell>
          <cell r="V427">
            <v>-3722</v>
          </cell>
          <cell r="W427">
            <v>-3583</v>
          </cell>
          <cell r="Y427">
            <v>-50174.611100000002</v>
          </cell>
        </row>
        <row r="428">
          <cell r="C428">
            <v>-1453</v>
          </cell>
          <cell r="D428">
            <v>-1677.117</v>
          </cell>
          <cell r="E428">
            <v>-1245</v>
          </cell>
          <cell r="F428">
            <v>-2161</v>
          </cell>
          <cell r="G428">
            <v>-3272</v>
          </cell>
          <cell r="H428">
            <v>-5607</v>
          </cell>
          <cell r="I428">
            <v>-6178.8757999999998</v>
          </cell>
          <cell r="J428">
            <v>-4282</v>
          </cell>
          <cell r="K428">
            <v>-4395</v>
          </cell>
          <cell r="L428">
            <v>-7475</v>
          </cell>
          <cell r="M428">
            <v>-5011.3991999999998</v>
          </cell>
          <cell r="N428">
            <v>-5168.0658999999996</v>
          </cell>
          <cell r="P428">
            <v>-5215</v>
          </cell>
          <cell r="Q428">
            <v>-11328.586000000001</v>
          </cell>
          <cell r="R428">
            <v>-10826</v>
          </cell>
          <cell r="S428">
            <v>-21599.473099999999</v>
          </cell>
          <cell r="T428">
            <v>-7993</v>
          </cell>
          <cell r="U428">
            <v>-10467.240599999999</v>
          </cell>
          <cell r="V428">
            <v>-17536</v>
          </cell>
          <cell r="W428">
            <v>-8896</v>
          </cell>
          <cell r="Y428">
            <v>-141786.75760000001</v>
          </cell>
        </row>
        <row r="429">
          <cell r="C429">
            <v>-1031</v>
          </cell>
          <cell r="D429">
            <v>-2978.3809999999999</v>
          </cell>
          <cell r="E429">
            <v>-1752</v>
          </cell>
          <cell r="F429">
            <v>-1497</v>
          </cell>
          <cell r="G429">
            <v>-4326</v>
          </cell>
          <cell r="H429">
            <v>-10626</v>
          </cell>
          <cell r="I429">
            <v>-4955.7195000000002</v>
          </cell>
          <cell r="J429">
            <v>-6283</v>
          </cell>
          <cell r="K429">
            <v>-3932</v>
          </cell>
          <cell r="L429">
            <v>-9515</v>
          </cell>
          <cell r="M429">
            <v>-7826.8780999999999</v>
          </cell>
          <cell r="N429">
            <v>-8411.2623999999996</v>
          </cell>
          <cell r="P429">
            <v>-7791</v>
          </cell>
          <cell r="Q429">
            <v>-53047.275000000009</v>
          </cell>
          <cell r="R429">
            <v>-19519</v>
          </cell>
          <cell r="S429">
            <v>-29873.956200000001</v>
          </cell>
          <cell r="T429">
            <v>-21622</v>
          </cell>
          <cell r="U429">
            <v>-13941.869000000001</v>
          </cell>
          <cell r="V429">
            <v>-18584</v>
          </cell>
          <cell r="W429">
            <v>-24463</v>
          </cell>
          <cell r="Y429">
            <v>-251976.34120000002</v>
          </cell>
        </row>
        <row r="430">
          <cell r="C430">
            <v>-695</v>
          </cell>
          <cell r="D430">
            <v>-258.77800000000002</v>
          </cell>
          <cell r="E430">
            <v>-563</v>
          </cell>
          <cell r="F430">
            <v>-285</v>
          </cell>
          <cell r="G430">
            <v>-984</v>
          </cell>
          <cell r="H430">
            <v>-1179</v>
          </cell>
          <cell r="I430">
            <v>-1097.1862000000001</v>
          </cell>
          <cell r="J430">
            <v>-2097</v>
          </cell>
          <cell r="K430">
            <v>-1773</v>
          </cell>
          <cell r="L430">
            <v>-1939</v>
          </cell>
          <cell r="M430">
            <v>-2134.7371000000003</v>
          </cell>
          <cell r="N430">
            <v>-2373.8903</v>
          </cell>
          <cell r="P430">
            <v>-1301</v>
          </cell>
          <cell r="Q430">
            <v>-7207.6060000000007</v>
          </cell>
          <cell r="R430">
            <v>-4725</v>
          </cell>
          <cell r="S430">
            <v>-1562.8434000000002</v>
          </cell>
          <cell r="T430">
            <v>-2845</v>
          </cell>
          <cell r="U430">
            <v>-1600.5593999999999</v>
          </cell>
          <cell r="V430">
            <v>-7639</v>
          </cell>
          <cell r="W430">
            <v>-2416</v>
          </cell>
          <cell r="Y430">
            <v>-44676.600399999996</v>
          </cell>
        </row>
        <row r="431">
          <cell r="C431">
            <v>-1596</v>
          </cell>
          <cell r="D431">
            <v>-2019.78</v>
          </cell>
          <cell r="E431">
            <v>-2732</v>
          </cell>
          <cell r="F431">
            <v>-2291</v>
          </cell>
          <cell r="G431">
            <v>-1822</v>
          </cell>
          <cell r="H431">
            <v>-1321</v>
          </cell>
          <cell r="I431">
            <v>-2656.0673999999999</v>
          </cell>
          <cell r="J431">
            <v>-4004</v>
          </cell>
          <cell r="K431">
            <v>-2329</v>
          </cell>
          <cell r="L431">
            <v>-17961</v>
          </cell>
          <cell r="M431">
            <v>-2639.2589000000007</v>
          </cell>
          <cell r="N431">
            <v>-4117.4213999999993</v>
          </cell>
          <cell r="P431">
            <v>846</v>
          </cell>
          <cell r="Q431">
            <v>-57447.190999999992</v>
          </cell>
          <cell r="R431">
            <v>-70851</v>
          </cell>
          <cell r="S431">
            <v>-7499.4903999999997</v>
          </cell>
          <cell r="T431">
            <v>-16116</v>
          </cell>
          <cell r="U431">
            <v>-5535.0673999999999</v>
          </cell>
          <cell r="V431">
            <v>-10859</v>
          </cell>
          <cell r="W431">
            <v>-9694</v>
          </cell>
          <cell r="Y431">
            <v>-222644.27650000001</v>
          </cell>
        </row>
        <row r="432">
          <cell r="C432">
            <v>-7</v>
          </cell>
          <cell r="D432">
            <v>0</v>
          </cell>
          <cell r="E432">
            <v>0</v>
          </cell>
          <cell r="F432">
            <v>-17</v>
          </cell>
          <cell r="G432">
            <v>-60</v>
          </cell>
          <cell r="H432">
            <v>0</v>
          </cell>
          <cell r="I432">
            <v>-1.8684000000000001</v>
          </cell>
          <cell r="J432">
            <v>-27</v>
          </cell>
          <cell r="K432">
            <v>-141</v>
          </cell>
          <cell r="L432">
            <v>0</v>
          </cell>
          <cell r="M432">
            <v>-24.790100000000002</v>
          </cell>
          <cell r="N432">
            <v>-1.7299999999999999E-2</v>
          </cell>
          <cell r="P432">
            <v>-16</v>
          </cell>
          <cell r="Q432">
            <v>-0.372</v>
          </cell>
          <cell r="R432">
            <v>-11</v>
          </cell>
          <cell r="S432">
            <v>-433.49760000000003</v>
          </cell>
          <cell r="T432">
            <v>-117</v>
          </cell>
          <cell r="U432">
            <v>0</v>
          </cell>
          <cell r="V432">
            <v>-3</v>
          </cell>
          <cell r="W432">
            <v>-1</v>
          </cell>
          <cell r="Y432">
            <v>-860.54539999999997</v>
          </cell>
        </row>
        <row r="433">
          <cell r="C433">
            <v>0</v>
          </cell>
          <cell r="D433">
            <v>345</v>
          </cell>
          <cell r="E433">
            <v>0</v>
          </cell>
          <cell r="F433">
            <v>0</v>
          </cell>
          <cell r="G433">
            <v>0</v>
          </cell>
          <cell r="H433">
            <v>0</v>
          </cell>
          <cell r="I433">
            <v>0</v>
          </cell>
          <cell r="J433">
            <v>0</v>
          </cell>
          <cell r="K433">
            <v>384</v>
          </cell>
          <cell r="L433">
            <v>0</v>
          </cell>
          <cell r="M433">
            <v>-0.65269999999999995</v>
          </cell>
          <cell r="N433">
            <v>0</v>
          </cell>
          <cell r="P433">
            <v>103</v>
          </cell>
          <cell r="Q433">
            <v>0</v>
          </cell>
          <cell r="R433">
            <v>0</v>
          </cell>
          <cell r="S433">
            <v>0</v>
          </cell>
          <cell r="T433">
            <v>0</v>
          </cell>
          <cell r="U433">
            <v>0</v>
          </cell>
          <cell r="V433">
            <v>0</v>
          </cell>
          <cell r="W433">
            <v>0</v>
          </cell>
          <cell r="Y433">
            <v>831.34730000000002</v>
          </cell>
        </row>
        <row r="434">
          <cell r="C434">
            <v>-11834</v>
          </cell>
          <cell r="D434">
            <v>-13221.21</v>
          </cell>
          <cell r="E434">
            <v>-11937</v>
          </cell>
          <cell r="F434">
            <v>-15870</v>
          </cell>
          <cell r="G434">
            <v>-21252</v>
          </cell>
          <cell r="H434">
            <v>-45664</v>
          </cell>
          <cell r="I434">
            <v>-38210.816399999996</v>
          </cell>
          <cell r="J434">
            <v>-32766</v>
          </cell>
          <cell r="K434">
            <v>-22962</v>
          </cell>
          <cell r="L434">
            <v>-65985</v>
          </cell>
          <cell r="M434">
            <v>-38739.477800000001</v>
          </cell>
          <cell r="N434">
            <v>-42587.113899999997</v>
          </cell>
          <cell r="P434">
            <v>-26871</v>
          </cell>
          <cell r="Q434">
            <v>-212707.78700000001</v>
          </cell>
          <cell r="R434">
            <v>-145130</v>
          </cell>
          <cell r="S434">
            <v>-97234.244399999996</v>
          </cell>
          <cell r="T434">
            <v>-96081</v>
          </cell>
          <cell r="U434">
            <v>-66683.470300000001</v>
          </cell>
          <cell r="V434">
            <v>-107538</v>
          </cell>
          <cell r="W434">
            <v>-98574</v>
          </cell>
          <cell r="Y434">
            <v>-1211848.1198</v>
          </cell>
        </row>
        <row r="436">
          <cell r="C436">
            <v>740</v>
          </cell>
          <cell r="D436">
            <v>0</v>
          </cell>
          <cell r="E436">
            <v>0</v>
          </cell>
          <cell r="F436">
            <v>-984</v>
          </cell>
          <cell r="G436">
            <v>-153</v>
          </cell>
          <cell r="H436">
            <v>-3063</v>
          </cell>
          <cell r="I436">
            <v>0</v>
          </cell>
          <cell r="J436">
            <v>543</v>
          </cell>
          <cell r="K436">
            <v>-905</v>
          </cell>
          <cell r="L436">
            <v>-9168</v>
          </cell>
          <cell r="M436">
            <v>873.78059999999994</v>
          </cell>
          <cell r="N436">
            <v>361.79449999999997</v>
          </cell>
          <cell r="P436">
            <v>4</v>
          </cell>
          <cell r="Q436">
            <v>-5712.1329999999998</v>
          </cell>
          <cell r="R436">
            <v>-4580</v>
          </cell>
          <cell r="S436">
            <v>2490.6606000000002</v>
          </cell>
          <cell r="T436">
            <v>0</v>
          </cell>
          <cell r="U436">
            <v>0</v>
          </cell>
          <cell r="V436">
            <v>2217</v>
          </cell>
          <cell r="W436">
            <v>0</v>
          </cell>
          <cell r="Y436">
            <v>-17334.897300000001</v>
          </cell>
        </row>
        <row r="437">
          <cell r="C437">
            <v>-22054</v>
          </cell>
          <cell r="D437">
            <v>-26296.393</v>
          </cell>
          <cell r="E437">
            <v>-20381</v>
          </cell>
          <cell r="F437">
            <v>-24560</v>
          </cell>
          <cell r="G437">
            <v>-37057</v>
          </cell>
          <cell r="H437">
            <v>-100464</v>
          </cell>
          <cell r="I437">
            <v>-78143.076700000005</v>
          </cell>
          <cell r="J437">
            <v>-59227</v>
          </cell>
          <cell r="K437">
            <v>-45100</v>
          </cell>
          <cell r="L437">
            <v>-121345</v>
          </cell>
          <cell r="M437">
            <v>-71867.8802</v>
          </cell>
          <cell r="N437">
            <v>-82526.254100000006</v>
          </cell>
          <cell r="P437">
            <v>-48566</v>
          </cell>
          <cell r="Q437">
            <v>-430332.34399999998</v>
          </cell>
          <cell r="R437">
            <v>-267246</v>
          </cell>
          <cell r="S437">
            <v>-206765.49339999998</v>
          </cell>
          <cell r="T437">
            <v>-197847</v>
          </cell>
          <cell r="U437">
            <v>-144558.10810000001</v>
          </cell>
          <cell r="V437">
            <v>-228004</v>
          </cell>
          <cell r="W437">
            <v>-176214</v>
          </cell>
          <cell r="Y437">
            <v>-2388554.5495000002</v>
          </cell>
        </row>
        <row r="438">
          <cell r="A438" t="str">
            <v>Total Expenses</v>
          </cell>
          <cell r="C438">
            <v>-84585</v>
          </cell>
          <cell r="D438">
            <v>-84966.288</v>
          </cell>
          <cell r="E438">
            <v>-59609</v>
          </cell>
          <cell r="F438">
            <v>-90229</v>
          </cell>
          <cell r="G438">
            <v>-111180</v>
          </cell>
          <cell r="H438">
            <v>-307770</v>
          </cell>
          <cell r="I438">
            <v>-242002.3603</v>
          </cell>
          <cell r="J438">
            <v>-213611</v>
          </cell>
          <cell r="K438">
            <v>-144942.8811</v>
          </cell>
          <cell r="L438">
            <v>-301546</v>
          </cell>
          <cell r="M438">
            <v>-226106.49319999997</v>
          </cell>
          <cell r="N438">
            <v>-260957.58900000004</v>
          </cell>
          <cell r="P438">
            <v>-173354</v>
          </cell>
          <cell r="Q438">
            <v>-1198746.767</v>
          </cell>
          <cell r="R438">
            <v>-834561</v>
          </cell>
          <cell r="S438">
            <v>-575647.78410000005</v>
          </cell>
          <cell r="T438">
            <v>-779674</v>
          </cell>
          <cell r="U438">
            <v>-456941.41159999999</v>
          </cell>
          <cell r="V438">
            <v>-779337</v>
          </cell>
          <cell r="W438">
            <v>-658121</v>
          </cell>
          <cell r="Y438">
            <v>-7583888.5742999995</v>
          </cell>
        </row>
        <row r="439">
          <cell r="C439">
            <v>-105</v>
          </cell>
          <cell r="D439">
            <v>-2668.775999999998</v>
          </cell>
          <cell r="E439">
            <v>-2151</v>
          </cell>
          <cell r="F439">
            <v>-14308</v>
          </cell>
          <cell r="G439">
            <v>-6449</v>
          </cell>
          <cell r="H439">
            <v>1488</v>
          </cell>
          <cell r="I439">
            <v>-554.34299999999348</v>
          </cell>
          <cell r="J439">
            <v>-3053</v>
          </cell>
          <cell r="K439">
            <v>-1188.8810999999987</v>
          </cell>
          <cell r="L439">
            <v>3534</v>
          </cell>
          <cell r="M439">
            <v>-144.7269999999553</v>
          </cell>
          <cell r="N439">
            <v>-3502.1015000000189</v>
          </cell>
          <cell r="P439">
            <v>-7328</v>
          </cell>
          <cell r="Q439">
            <v>-20745.699999999721</v>
          </cell>
          <cell r="R439">
            <v>-333</v>
          </cell>
          <cell r="S439">
            <v>-28355.714900000021</v>
          </cell>
          <cell r="T439">
            <v>809</v>
          </cell>
          <cell r="U439">
            <v>9311.795999999973</v>
          </cell>
          <cell r="V439">
            <v>-29091</v>
          </cell>
          <cell r="W439">
            <v>3596</v>
          </cell>
          <cell r="Y439">
            <v>-101239.44749999973</v>
          </cell>
        </row>
        <row r="440">
          <cell r="Q440">
            <v>0.59613186343634161</v>
          </cell>
        </row>
        <row r="441">
          <cell r="C441">
            <v>-3230</v>
          </cell>
          <cell r="D441">
            <v>-2586</v>
          </cell>
          <cell r="E441">
            <v>-1877</v>
          </cell>
          <cell r="F441">
            <v>-4578</v>
          </cell>
          <cell r="G441">
            <v>-5571</v>
          </cell>
          <cell r="H441">
            <v>-15157</v>
          </cell>
          <cell r="I441">
            <v>-12116.4295</v>
          </cell>
          <cell r="J441">
            <v>-9079</v>
          </cell>
          <cell r="K441">
            <v>-7681</v>
          </cell>
          <cell r="L441">
            <v>-10839</v>
          </cell>
          <cell r="M441">
            <v>-12406.383600000001</v>
          </cell>
          <cell r="N441">
            <v>-11539.8786</v>
          </cell>
          <cell r="P441">
            <v>-9187</v>
          </cell>
          <cell r="Q441">
            <v>-51144.7929</v>
          </cell>
          <cell r="R441">
            <v>-46866</v>
          </cell>
          <cell r="S441">
            <v>-43148.342199999999</v>
          </cell>
          <cell r="T441">
            <v>-25453</v>
          </cell>
          <cell r="U441">
            <v>-19396.1499</v>
          </cell>
          <cell r="V441">
            <v>-27260</v>
          </cell>
          <cell r="W441">
            <v>-23784</v>
          </cell>
          <cell r="Y441">
            <v>-342899.9767</v>
          </cell>
        </row>
        <row r="442">
          <cell r="C442">
            <v>0</v>
          </cell>
          <cell r="D442">
            <v>0</v>
          </cell>
          <cell r="E442">
            <v>-268</v>
          </cell>
          <cell r="F442">
            <v>0</v>
          </cell>
          <cell r="G442">
            <v>-66</v>
          </cell>
          <cell r="H442">
            <v>-230</v>
          </cell>
          <cell r="I442">
            <v>-20.5398</v>
          </cell>
          <cell r="J442">
            <v>-1</v>
          </cell>
          <cell r="K442">
            <v>-416</v>
          </cell>
          <cell r="L442">
            <v>-3</v>
          </cell>
          <cell r="M442">
            <v>-217.22300000000001</v>
          </cell>
          <cell r="N442">
            <v>0</v>
          </cell>
          <cell r="P442">
            <v>-14</v>
          </cell>
          <cell r="Q442">
            <v>-5225.9580000000014</v>
          </cell>
          <cell r="R442">
            <v>0</v>
          </cell>
          <cell r="S442">
            <v>-1273.1220000000001</v>
          </cell>
          <cell r="T442">
            <v>-629</v>
          </cell>
          <cell r="U442">
            <v>-8.3190000000000008</v>
          </cell>
          <cell r="V442">
            <v>-2294</v>
          </cell>
          <cell r="W442">
            <v>-284</v>
          </cell>
          <cell r="Y442">
            <v>-10950.161800000002</v>
          </cell>
        </row>
        <row r="443">
          <cell r="C443">
            <v>-353</v>
          </cell>
          <cell r="D443">
            <v>-973</v>
          </cell>
          <cell r="E443">
            <v>-1445</v>
          </cell>
          <cell r="F443">
            <v>-775</v>
          </cell>
          <cell r="G443">
            <v>-2109</v>
          </cell>
          <cell r="H443">
            <v>-4932</v>
          </cell>
          <cell r="I443">
            <v>-2162.5238000000004</v>
          </cell>
          <cell r="J443">
            <v>-1238</v>
          </cell>
          <cell r="K443">
            <v>-499</v>
          </cell>
          <cell r="L443">
            <v>-3533</v>
          </cell>
          <cell r="M443">
            <v>-2327.0934999999999</v>
          </cell>
          <cell r="N443">
            <v>-3095.2082</v>
          </cell>
          <cell r="P443">
            <v>-1978</v>
          </cell>
          <cell r="Q443">
            <v>-13007.883</v>
          </cell>
          <cell r="R443">
            <v>-4666</v>
          </cell>
          <cell r="S443">
            <v>-19548.297000000002</v>
          </cell>
          <cell r="T443">
            <v>-8829</v>
          </cell>
          <cell r="U443">
            <v>-4991.8324999999995</v>
          </cell>
          <cell r="V443">
            <v>-2325</v>
          </cell>
          <cell r="W443">
            <v>-10021</v>
          </cell>
          <cell r="Y443">
            <v>-88808.838000000003</v>
          </cell>
        </row>
        <row r="444">
          <cell r="C444">
            <v>-656</v>
          </cell>
          <cell r="D444">
            <v>-1666</v>
          </cell>
          <cell r="E444">
            <v>-406</v>
          </cell>
          <cell r="F444">
            <v>-690</v>
          </cell>
          <cell r="G444">
            <v>-2128</v>
          </cell>
          <cell r="H444">
            <v>-5020</v>
          </cell>
          <cell r="I444">
            <v>-2427.2538</v>
          </cell>
          <cell r="J444">
            <v>-4988</v>
          </cell>
          <cell r="K444">
            <v>-2853</v>
          </cell>
          <cell r="L444">
            <v>-5919</v>
          </cell>
          <cell r="M444">
            <v>-5231.7188999999998</v>
          </cell>
          <cell r="N444">
            <v>-5209.9120000000003</v>
          </cell>
          <cell r="P444">
            <v>-5748</v>
          </cell>
          <cell r="Q444">
            <v>-34491.425999999999</v>
          </cell>
          <cell r="R444">
            <v>-14853</v>
          </cell>
          <cell r="S444">
            <v>-8807.26</v>
          </cell>
          <cell r="T444">
            <v>-12108</v>
          </cell>
          <cell r="U444">
            <v>-8406.1263999999992</v>
          </cell>
          <cell r="V444">
            <v>-13965</v>
          </cell>
          <cell r="W444">
            <v>-14222</v>
          </cell>
          <cell r="Y444">
            <v>-149795.69709999999</v>
          </cell>
        </row>
        <row r="516">
          <cell r="C516" t="str">
            <v>Auckland DHB</v>
          </cell>
          <cell r="D516" t="str">
            <v>Counties Manukau DHB</v>
          </cell>
          <cell r="E516" t="str">
            <v>Northland DHB</v>
          </cell>
          <cell r="F516" t="str">
            <v>Waitemata DHB</v>
          </cell>
          <cell r="G516" t="str">
            <v xml:space="preserve">   Total</v>
          </cell>
          <cell r="I516" t="str">
            <v>Bay of Plenty DHB</v>
          </cell>
          <cell r="J516" t="str">
            <v>Lakes DHB</v>
          </cell>
          <cell r="K516" t="str">
            <v>Tairawhiti DHB</v>
          </cell>
          <cell r="L516" t="str">
            <v>Taranaki DHB</v>
          </cell>
          <cell r="M516" t="str">
            <v>Waikato DHB</v>
          </cell>
          <cell r="N516" t="str">
            <v xml:space="preserve">   Total</v>
          </cell>
          <cell r="P516" t="str">
            <v>Capital &amp; Coast DHB</v>
          </cell>
          <cell r="Q516" t="str">
            <v>Hawke's Bay DHB</v>
          </cell>
          <cell r="R516" t="str">
            <v>Hutt Valley DHB</v>
          </cell>
          <cell r="S516" t="str">
            <v>MidCentral DHB</v>
          </cell>
          <cell r="T516" t="str">
            <v>Wairarapa DHB</v>
          </cell>
          <cell r="U516" t="str">
            <v>Whanganui DHB</v>
          </cell>
          <cell r="V516" t="str">
            <v xml:space="preserve">   Total</v>
          </cell>
          <cell r="X516" t="str">
            <v>Canterbury DHB</v>
          </cell>
          <cell r="Y516" t="str">
            <v>Nelson Marlborough DHB</v>
          </cell>
          <cell r="Z516" t="str">
            <v>South Canterbury DHB</v>
          </cell>
          <cell r="AA516" t="str">
            <v>Southern DHB</v>
          </cell>
          <cell r="AB516" t="str">
            <v>West Coast DHB</v>
          </cell>
          <cell r="AC516" t="str">
            <v xml:space="preserve">   Total</v>
          </cell>
          <cell r="AE516" t="str">
            <v>All DHBs</v>
          </cell>
        </row>
        <row r="517">
          <cell r="C517">
            <v>1211276.3759999999</v>
          </cell>
          <cell r="D517">
            <v>730476</v>
          </cell>
          <cell r="E517">
            <v>268869.29450999992</v>
          </cell>
          <cell r="F517">
            <v>699839</v>
          </cell>
          <cell r="G517">
            <v>2910460.6705099996</v>
          </cell>
          <cell r="I517">
            <v>323796</v>
          </cell>
          <cell r="J517">
            <v>151117</v>
          </cell>
          <cell r="K517">
            <v>85287</v>
          </cell>
          <cell r="L517">
            <v>168084</v>
          </cell>
          <cell r="M517">
            <v>699301</v>
          </cell>
          <cell r="N517">
            <v>1427585</v>
          </cell>
          <cell r="P517">
            <v>601796.06189000013</v>
          </cell>
          <cell r="Q517">
            <v>258846.83231000003</v>
          </cell>
          <cell r="R517">
            <v>217446</v>
          </cell>
          <cell r="S517">
            <v>322639</v>
          </cell>
          <cell r="T517">
            <v>57959</v>
          </cell>
          <cell r="U517">
            <v>109076</v>
          </cell>
          <cell r="V517">
            <v>1567762.8942000002</v>
          </cell>
          <cell r="X517">
            <v>891607</v>
          </cell>
          <cell r="Y517">
            <v>230932.44445999994</v>
          </cell>
          <cell r="Z517">
            <v>86508</v>
          </cell>
          <cell r="AA517">
            <v>476176.59913999995</v>
          </cell>
          <cell r="AB517">
            <v>75805</v>
          </cell>
          <cell r="AC517">
            <v>1761029.0436</v>
          </cell>
          <cell r="AE517">
            <v>7666837.6083099991</v>
          </cell>
        </row>
        <row r="519">
          <cell r="C519">
            <v>-263223.00800000003</v>
          </cell>
          <cell r="D519">
            <v>-149507</v>
          </cell>
          <cell r="E519">
            <v>-47926.343609999996</v>
          </cell>
          <cell r="F519">
            <v>-131434</v>
          </cell>
          <cell r="G519">
            <v>-592090.35161000001</v>
          </cell>
          <cell r="I519">
            <v>-56223</v>
          </cell>
          <cell r="J519">
            <v>-27268</v>
          </cell>
          <cell r="K519">
            <v>-17365</v>
          </cell>
          <cell r="L519">
            <v>-27372</v>
          </cell>
          <cell r="M519">
            <v>-128432</v>
          </cell>
          <cell r="N519">
            <v>-256660</v>
          </cell>
          <cell r="P519">
            <v>-112472.15811999999</v>
          </cell>
          <cell r="Q519">
            <v>-41730.398290000005</v>
          </cell>
          <cell r="R519">
            <v>-43010</v>
          </cell>
          <cell r="S519">
            <v>-52162</v>
          </cell>
          <cell r="T519">
            <v>-8007</v>
          </cell>
          <cell r="U519">
            <v>-18146</v>
          </cell>
          <cell r="V519">
            <v>-275527.55640999996</v>
          </cell>
          <cell r="X519">
            <v>-161322</v>
          </cell>
          <cell r="Y519">
            <v>-40383.480560000004</v>
          </cell>
          <cell r="Z519">
            <v>-14606</v>
          </cell>
          <cell r="AA519">
            <v>-99826.073310000007</v>
          </cell>
          <cell r="AB519">
            <v>-10673</v>
          </cell>
          <cell r="AC519">
            <v>-326810.55387</v>
          </cell>
          <cell r="AE519">
            <v>-1451088.4618899999</v>
          </cell>
        </row>
        <row r="520">
          <cell r="C520">
            <v>-248488.08700000003</v>
          </cell>
          <cell r="D520">
            <v>-180780</v>
          </cell>
          <cell r="E520">
            <v>-69161.793420000016</v>
          </cell>
          <cell r="F520">
            <v>-184710</v>
          </cell>
          <cell r="G520">
            <v>-683139.88042000006</v>
          </cell>
          <cell r="I520">
            <v>-80094</v>
          </cell>
          <cell r="J520">
            <v>-35713</v>
          </cell>
          <cell r="K520">
            <v>-19510</v>
          </cell>
          <cell r="L520">
            <v>-41517</v>
          </cell>
          <cell r="M520">
            <v>-174504</v>
          </cell>
          <cell r="N520">
            <v>-351338</v>
          </cell>
          <cell r="P520">
            <v>-145395.87007999996</v>
          </cell>
          <cell r="Q520">
            <v>-61127.346999999994</v>
          </cell>
          <cell r="R520">
            <v>-53770</v>
          </cell>
          <cell r="S520">
            <v>-69487</v>
          </cell>
          <cell r="T520">
            <v>-15352</v>
          </cell>
          <cell r="U520">
            <v>-28587</v>
          </cell>
          <cell r="V520">
            <v>-373719.21707999997</v>
          </cell>
          <cell r="X520">
            <v>-235448</v>
          </cell>
          <cell r="Y520">
            <v>-51116.185719999994</v>
          </cell>
          <cell r="Z520">
            <v>-24466</v>
          </cell>
          <cell r="AA520">
            <v>-117951.07600999998</v>
          </cell>
          <cell r="AB520">
            <v>-24654</v>
          </cell>
          <cell r="AC520">
            <v>-453635.26172999997</v>
          </cell>
          <cell r="AE520">
            <v>-1861832.3592300001</v>
          </cell>
        </row>
        <row r="521">
          <cell r="C521">
            <v>-123917.29300000002</v>
          </cell>
          <cell r="D521">
            <v>-69382</v>
          </cell>
          <cell r="E521">
            <v>-31275.923470000005</v>
          </cell>
          <cell r="F521">
            <v>-91933</v>
          </cell>
          <cell r="G521">
            <v>-316508.21646999998</v>
          </cell>
          <cell r="I521">
            <v>-29077</v>
          </cell>
          <cell r="J521">
            <v>-13062</v>
          </cell>
          <cell r="K521">
            <v>-10340</v>
          </cell>
          <cell r="L521">
            <v>-14688</v>
          </cell>
          <cell r="M521">
            <v>-63347</v>
          </cell>
          <cell r="N521">
            <v>-130514</v>
          </cell>
          <cell r="P521">
            <v>-50903.228990000025</v>
          </cell>
          <cell r="Q521">
            <v>-26753.007740000008</v>
          </cell>
          <cell r="R521">
            <v>-28667</v>
          </cell>
          <cell r="S521">
            <v>-25924</v>
          </cell>
          <cell r="T521">
            <v>-4604</v>
          </cell>
          <cell r="U521">
            <v>-8993</v>
          </cell>
          <cell r="V521">
            <v>-145844.23673000003</v>
          </cell>
          <cell r="X521">
            <v>-91787</v>
          </cell>
          <cell r="Y521">
            <v>-34692.16201</v>
          </cell>
          <cell r="Z521">
            <v>-6914</v>
          </cell>
          <cell r="AA521">
            <v>-47392.967559999997</v>
          </cell>
          <cell r="AB521">
            <v>-8956</v>
          </cell>
          <cell r="AC521">
            <v>-189742.12956999999</v>
          </cell>
          <cell r="AE521">
            <v>-782608.58276999998</v>
          </cell>
        </row>
        <row r="522">
          <cell r="C522">
            <v>-14452.522000000001</v>
          </cell>
          <cell r="D522">
            <v>-19424</v>
          </cell>
          <cell r="E522">
            <v>-3723.7427900000007</v>
          </cell>
          <cell r="F522">
            <v>-10420</v>
          </cell>
          <cell r="G522">
            <v>-48020.264790000001</v>
          </cell>
          <cell r="I522">
            <v>-6012</v>
          </cell>
          <cell r="J522">
            <v>-2842</v>
          </cell>
          <cell r="K522">
            <v>-889</v>
          </cell>
          <cell r="L522">
            <v>-4015</v>
          </cell>
          <cell r="M522">
            <v>-14756</v>
          </cell>
          <cell r="N522">
            <v>-28514</v>
          </cell>
          <cell r="P522">
            <v>-8470.0154199999979</v>
          </cell>
          <cell r="Q522">
            <v>-6523.34663</v>
          </cell>
          <cell r="R522">
            <v>-6354</v>
          </cell>
          <cell r="S522">
            <v>-1924</v>
          </cell>
          <cell r="T522">
            <v>-704</v>
          </cell>
          <cell r="U522">
            <v>-826</v>
          </cell>
          <cell r="V522">
            <v>-24801.362049999996</v>
          </cell>
          <cell r="X522">
            <v>-15352</v>
          </cell>
          <cell r="Y522">
            <v>-4947.5098399999997</v>
          </cell>
          <cell r="Z522">
            <v>-2508</v>
          </cell>
          <cell r="AA522">
            <v>-9339.3356800000001</v>
          </cell>
          <cell r="AB522">
            <v>-2163</v>
          </cell>
          <cell r="AC522">
            <v>-34309.845520000003</v>
          </cell>
          <cell r="AE522">
            <v>-135645.47236000001</v>
          </cell>
        </row>
        <row r="523">
          <cell r="C523">
            <v>-94277.203000000009</v>
          </cell>
          <cell r="D523">
            <v>-57017</v>
          </cell>
          <cell r="E523">
            <v>-21673.814279999999</v>
          </cell>
          <cell r="F523">
            <v>-53558</v>
          </cell>
          <cell r="G523">
            <v>-226526.01728</v>
          </cell>
          <cell r="I523">
            <v>-22939</v>
          </cell>
          <cell r="J523">
            <v>-13418</v>
          </cell>
          <cell r="K523">
            <v>-7196</v>
          </cell>
          <cell r="L523">
            <v>-17801</v>
          </cell>
          <cell r="M523">
            <v>-63922</v>
          </cell>
          <cell r="N523">
            <v>-125276</v>
          </cell>
          <cell r="P523">
            <v>-48793.780570000017</v>
          </cell>
          <cell r="Q523">
            <v>-23755.340549999997</v>
          </cell>
          <cell r="R523">
            <v>-19832</v>
          </cell>
          <cell r="S523">
            <v>-19607</v>
          </cell>
          <cell r="T523">
            <v>-4782</v>
          </cell>
          <cell r="U523">
            <v>-8412</v>
          </cell>
          <cell r="V523">
            <v>-125182.12112000001</v>
          </cell>
          <cell r="X523">
            <v>-61510</v>
          </cell>
          <cell r="Y523">
            <v>-20169.787830000001</v>
          </cell>
          <cell r="Z523">
            <v>-7565</v>
          </cell>
          <cell r="AA523">
            <v>-39003.154590000006</v>
          </cell>
          <cell r="AB523">
            <v>-6488</v>
          </cell>
          <cell r="AC523">
            <v>-134735.94242000001</v>
          </cell>
          <cell r="AE523">
            <v>-611720.08082000003</v>
          </cell>
        </row>
        <row r="524">
          <cell r="A524" t="str">
            <v>Total Personnel</v>
          </cell>
          <cell r="C524">
            <v>-744358.11300000001</v>
          </cell>
          <cell r="D524">
            <v>-476110</v>
          </cell>
          <cell r="E524">
            <v>-173761.61757000003</v>
          </cell>
          <cell r="F524">
            <v>-472055</v>
          </cell>
          <cell r="G524">
            <v>-1866284.7305699999</v>
          </cell>
          <cell r="I524">
            <v>-194345</v>
          </cell>
          <cell r="J524">
            <v>-92303</v>
          </cell>
          <cell r="K524">
            <v>-55300</v>
          </cell>
          <cell r="L524">
            <v>-105393</v>
          </cell>
          <cell r="M524">
            <v>-444961</v>
          </cell>
          <cell r="N524">
            <v>-892302</v>
          </cell>
          <cell r="P524">
            <v>-366035.05317999999</v>
          </cell>
          <cell r="Q524">
            <v>-159889.44020999997</v>
          </cell>
          <cell r="R524">
            <v>-151633</v>
          </cell>
          <cell r="S524">
            <v>-169104</v>
          </cell>
          <cell r="T524">
            <v>-33449</v>
          </cell>
          <cell r="U524">
            <v>-64964</v>
          </cell>
          <cell r="V524">
            <v>-945074.49338999996</v>
          </cell>
          <cell r="X524">
            <v>-565419</v>
          </cell>
          <cell r="Y524">
            <v>-151309.12595999998</v>
          </cell>
          <cell r="Z524">
            <v>-56059</v>
          </cell>
          <cell r="AA524">
            <v>-313512.60714999994</v>
          </cell>
          <cell r="AB524">
            <v>-52934</v>
          </cell>
          <cell r="AC524">
            <v>-1139233.7331099999</v>
          </cell>
          <cell r="AE524">
            <v>-4842894.9570699995</v>
          </cell>
        </row>
        <row r="526">
          <cell r="A526" t="str">
            <v xml:space="preserve">    Outsourced Services</v>
          </cell>
          <cell r="C526">
            <v>-88313.49</v>
          </cell>
          <cell r="D526">
            <v>-57340</v>
          </cell>
          <cell r="E526">
            <v>-14658.11803</v>
          </cell>
          <cell r="F526">
            <v>-49785</v>
          </cell>
          <cell r="G526">
            <v>-210096.60803</v>
          </cell>
          <cell r="I526">
            <v>-22228</v>
          </cell>
          <cell r="J526">
            <v>-11711</v>
          </cell>
          <cell r="K526">
            <v>-5908</v>
          </cell>
          <cell r="L526">
            <v>-22062</v>
          </cell>
          <cell r="M526">
            <v>-47748</v>
          </cell>
          <cell r="N526">
            <v>-109657</v>
          </cell>
          <cell r="P526">
            <v>-22460.377120000005</v>
          </cell>
          <cell r="Q526">
            <v>-12503.163500000002</v>
          </cell>
          <cell r="R526">
            <v>-5521</v>
          </cell>
          <cell r="S526">
            <v>-21159</v>
          </cell>
          <cell r="T526">
            <v>-6333</v>
          </cell>
          <cell r="U526">
            <v>-12209</v>
          </cell>
          <cell r="V526">
            <v>-80185.540620000014</v>
          </cell>
          <cell r="X526">
            <v>-29527</v>
          </cell>
          <cell r="Y526">
            <v>-11670.483250000001</v>
          </cell>
          <cell r="Z526">
            <v>-8975</v>
          </cell>
          <cell r="AA526">
            <v>-21001.604590000003</v>
          </cell>
          <cell r="AB526">
            <v>-12764</v>
          </cell>
          <cell r="AC526">
            <v>-83938.087840000007</v>
          </cell>
          <cell r="AE526">
            <v>-483877.23648999998</v>
          </cell>
        </row>
        <row r="527">
          <cell r="C527">
            <v>-832671.603</v>
          </cell>
          <cell r="D527">
            <v>-533450</v>
          </cell>
          <cell r="E527">
            <v>-188419.73560000004</v>
          </cell>
          <cell r="F527">
            <v>-521840</v>
          </cell>
          <cell r="G527">
            <v>-2076381.3386000001</v>
          </cell>
          <cell r="I527">
            <v>-216573</v>
          </cell>
          <cell r="J527">
            <v>-104014</v>
          </cell>
          <cell r="K527">
            <v>-61208</v>
          </cell>
          <cell r="L527">
            <v>-127455</v>
          </cell>
          <cell r="M527">
            <v>-492709</v>
          </cell>
          <cell r="N527">
            <v>-1001959</v>
          </cell>
          <cell r="P527">
            <v>-388495.43030000001</v>
          </cell>
          <cell r="Q527">
            <v>-172392.60370999997</v>
          </cell>
          <cell r="R527">
            <v>-157154</v>
          </cell>
          <cell r="S527">
            <v>-190263</v>
          </cell>
          <cell r="T527">
            <v>-39782</v>
          </cell>
          <cell r="U527">
            <v>-77173</v>
          </cell>
          <cell r="V527">
            <v>-1025260.0340099999</v>
          </cell>
          <cell r="X527">
            <v>-594946</v>
          </cell>
          <cell r="Y527">
            <v>-162979.60920999997</v>
          </cell>
          <cell r="Z527">
            <v>-65034</v>
          </cell>
          <cell r="AA527">
            <v>-334514.21173999994</v>
          </cell>
          <cell r="AB527">
            <v>-65779</v>
          </cell>
          <cell r="AC527">
            <v>-1223171.8209499998</v>
          </cell>
          <cell r="AE527">
            <v>-5326772.1935600005</v>
          </cell>
        </row>
        <row r="529">
          <cell r="C529">
            <v>-224710.81299999999</v>
          </cell>
          <cell r="D529">
            <v>-107144</v>
          </cell>
          <cell r="E529">
            <v>-42839.995430000003</v>
          </cell>
          <cell r="F529">
            <v>-87631</v>
          </cell>
          <cell r="G529">
            <v>-462325.80842999998</v>
          </cell>
          <cell r="I529">
            <v>-53636</v>
          </cell>
          <cell r="J529">
            <v>-22470</v>
          </cell>
          <cell r="K529">
            <v>-12775</v>
          </cell>
          <cell r="L529">
            <v>-24361</v>
          </cell>
          <cell r="M529">
            <v>-128902</v>
          </cell>
          <cell r="N529">
            <v>-242144</v>
          </cell>
          <cell r="P529">
            <v>-114903.39869000002</v>
          </cell>
          <cell r="Q529">
            <v>-41843.777209999993</v>
          </cell>
          <cell r="R529">
            <v>-28883</v>
          </cell>
          <cell r="S529">
            <v>-47641</v>
          </cell>
          <cell r="T529">
            <v>-8670</v>
          </cell>
          <cell r="U529">
            <v>-15868</v>
          </cell>
          <cell r="V529">
            <v>-257809.1759</v>
          </cell>
          <cell r="X529">
            <v>-124321</v>
          </cell>
          <cell r="Y529">
            <v>-34268.31407</v>
          </cell>
          <cell r="Z529">
            <v>-10388</v>
          </cell>
          <cell r="AA529">
            <v>-79321.471469999989</v>
          </cell>
          <cell r="AB529">
            <v>-7552</v>
          </cell>
          <cell r="AC529">
            <v>-255850.78553999998</v>
          </cell>
          <cell r="AE529">
            <v>-1218129.7779699999</v>
          </cell>
        </row>
        <row r="531">
          <cell r="C531">
            <v>-171577.04103999998</v>
          </cell>
          <cell r="D531">
            <v>-96421</v>
          </cell>
          <cell r="E531">
            <v>-40693.65092</v>
          </cell>
          <cell r="F531">
            <v>-95840</v>
          </cell>
          <cell r="G531">
            <v>-404531.69195999997</v>
          </cell>
          <cell r="I531">
            <v>-50289</v>
          </cell>
          <cell r="J531">
            <v>-25676</v>
          </cell>
          <cell r="K531">
            <v>-12529</v>
          </cell>
          <cell r="L531">
            <v>-25305</v>
          </cell>
          <cell r="M531">
            <v>-113744</v>
          </cell>
          <cell r="N531">
            <v>-227543</v>
          </cell>
          <cell r="P531">
            <v>-111152.67987000002</v>
          </cell>
          <cell r="Q531">
            <v>-39137.269059999999</v>
          </cell>
          <cell r="R531">
            <v>-33161</v>
          </cell>
          <cell r="S531">
            <v>-75482</v>
          </cell>
          <cell r="T531">
            <v>-13125</v>
          </cell>
          <cell r="U531">
            <v>-20582</v>
          </cell>
          <cell r="V531">
            <v>-292639.94893000001</v>
          </cell>
          <cell r="X531">
            <v>-165233</v>
          </cell>
          <cell r="Y531">
            <v>-40083.392019999999</v>
          </cell>
          <cell r="Z531">
            <v>-12573</v>
          </cell>
          <cell r="AA531">
            <v>-68994.344629999992</v>
          </cell>
          <cell r="AB531">
            <v>-16640</v>
          </cell>
          <cell r="AC531">
            <v>-303523.73664999998</v>
          </cell>
          <cell r="AE531">
            <v>-1228238.3775399998</v>
          </cell>
        </row>
        <row r="533">
          <cell r="C533">
            <v>0</v>
          </cell>
          <cell r="D533">
            <v>0</v>
          </cell>
          <cell r="E533">
            <v>0</v>
          </cell>
          <cell r="F533">
            <v>0</v>
          </cell>
          <cell r="G533">
            <v>0</v>
          </cell>
          <cell r="I533">
            <v>0</v>
          </cell>
          <cell r="J533">
            <v>0</v>
          </cell>
          <cell r="K533">
            <v>0</v>
          </cell>
          <cell r="L533">
            <v>0</v>
          </cell>
          <cell r="M533">
            <v>0</v>
          </cell>
          <cell r="N533">
            <v>0</v>
          </cell>
          <cell r="P533">
            <v>0</v>
          </cell>
          <cell r="Q533">
            <v>0</v>
          </cell>
          <cell r="R533">
            <v>0</v>
          </cell>
          <cell r="S533">
            <v>0</v>
          </cell>
          <cell r="T533">
            <v>0</v>
          </cell>
          <cell r="U533">
            <v>0</v>
          </cell>
          <cell r="V533">
            <v>0</v>
          </cell>
          <cell r="X533">
            <v>0</v>
          </cell>
          <cell r="Y533">
            <v>0</v>
          </cell>
          <cell r="Z533">
            <v>0</v>
          </cell>
          <cell r="AA533">
            <v>0</v>
          </cell>
          <cell r="AB533">
            <v>0</v>
          </cell>
          <cell r="AC533">
            <v>0</v>
          </cell>
          <cell r="AE533">
            <v>0</v>
          </cell>
        </row>
        <row r="535">
          <cell r="C535">
            <v>-5889.8490000000002</v>
          </cell>
          <cell r="D535">
            <v>0</v>
          </cell>
          <cell r="E535">
            <v>366.41847000000041</v>
          </cell>
          <cell r="F535">
            <v>0</v>
          </cell>
          <cell r="G535">
            <v>-5523.4305299999996</v>
          </cell>
          <cell r="I535">
            <v>-4391</v>
          </cell>
          <cell r="J535">
            <v>-1343</v>
          </cell>
          <cell r="K535">
            <v>-40</v>
          </cell>
          <cell r="L535">
            <v>5</v>
          </cell>
          <cell r="M535">
            <v>2425</v>
          </cell>
          <cell r="N535">
            <v>-3344</v>
          </cell>
          <cell r="P535">
            <v>2155.994490000001</v>
          </cell>
          <cell r="Q535">
            <v>0</v>
          </cell>
          <cell r="R535">
            <v>530</v>
          </cell>
          <cell r="S535">
            <v>-6396</v>
          </cell>
          <cell r="T535">
            <v>0</v>
          </cell>
          <cell r="U535">
            <v>-206</v>
          </cell>
          <cell r="V535">
            <v>-3916.005509999999</v>
          </cell>
          <cell r="X535">
            <v>-5118</v>
          </cell>
          <cell r="Y535">
            <v>1857.3119799999999</v>
          </cell>
          <cell r="Z535">
            <v>767</v>
          </cell>
          <cell r="AA535">
            <v>0</v>
          </cell>
          <cell r="AB535">
            <v>-1320</v>
          </cell>
          <cell r="AC535">
            <v>-3813.6880200000001</v>
          </cell>
          <cell r="AE535">
            <v>-16597.124059999998</v>
          </cell>
        </row>
        <row r="536">
          <cell r="C536">
            <v>-402177.70303999999</v>
          </cell>
          <cell r="D536">
            <v>-203565</v>
          </cell>
          <cell r="E536">
            <v>-83167.227879999991</v>
          </cell>
          <cell r="F536">
            <v>-183471</v>
          </cell>
          <cell r="G536">
            <v>-872380.93092000007</v>
          </cell>
          <cell r="I536">
            <v>-108316</v>
          </cell>
          <cell r="J536">
            <v>-49489</v>
          </cell>
          <cell r="K536">
            <v>-25344</v>
          </cell>
          <cell r="L536">
            <v>-49661</v>
          </cell>
          <cell r="M536">
            <v>-240221</v>
          </cell>
          <cell r="N536">
            <v>-473031</v>
          </cell>
          <cell r="P536">
            <v>-223900.08407000004</v>
          </cell>
          <cell r="Q536">
            <v>-80981.046269999992</v>
          </cell>
          <cell r="R536">
            <v>-61514</v>
          </cell>
          <cell r="S536">
            <v>-129519</v>
          </cell>
          <cell r="T536">
            <v>-21795</v>
          </cell>
          <cell r="U536">
            <v>-36656</v>
          </cell>
          <cell r="V536">
            <v>-554365.13034000003</v>
          </cell>
          <cell r="X536">
            <v>-294672</v>
          </cell>
          <cell r="Y536">
            <v>-72494.394109999994</v>
          </cell>
          <cell r="Z536">
            <v>-22194</v>
          </cell>
          <cell r="AA536">
            <v>-148315.8161</v>
          </cell>
          <cell r="AB536">
            <v>-25512</v>
          </cell>
          <cell r="AC536">
            <v>-563188.21020999993</v>
          </cell>
          <cell r="AE536">
            <v>-2462965.27147</v>
          </cell>
        </row>
        <row r="538">
          <cell r="A538" t="str">
            <v>TOTAL EXPENDITURE</v>
          </cell>
          <cell r="C538">
            <v>-1234849.3060400002</v>
          </cell>
          <cell r="D538">
            <v>-737015</v>
          </cell>
          <cell r="E538">
            <v>-271586.96348000003</v>
          </cell>
          <cell r="F538">
            <v>-705311</v>
          </cell>
          <cell r="G538">
            <v>-2948762.2695200001</v>
          </cell>
          <cell r="I538">
            <v>-324889</v>
          </cell>
          <cell r="J538">
            <v>-153503</v>
          </cell>
          <cell r="K538">
            <v>-86552</v>
          </cell>
          <cell r="L538">
            <v>-177116</v>
          </cell>
          <cell r="M538">
            <v>-732930</v>
          </cell>
          <cell r="N538">
            <v>-1474990</v>
          </cell>
          <cell r="P538">
            <v>-612395.51436999999</v>
          </cell>
          <cell r="Q538">
            <v>-253373.64998000005</v>
          </cell>
          <cell r="R538">
            <v>-218668</v>
          </cell>
          <cell r="S538">
            <v>-319782</v>
          </cell>
          <cell r="T538">
            <v>-61577</v>
          </cell>
          <cell r="U538">
            <v>-113829</v>
          </cell>
          <cell r="V538">
            <v>-1579625.16435</v>
          </cell>
          <cell r="X538">
            <v>-889618</v>
          </cell>
          <cell r="Y538">
            <v>-235474.00331999996</v>
          </cell>
          <cell r="Z538">
            <v>-87228</v>
          </cell>
          <cell r="AA538">
            <v>-482830.02784</v>
          </cell>
          <cell r="AB538">
            <v>-91210</v>
          </cell>
          <cell r="AC538">
            <v>-1786360.0311599998</v>
          </cell>
          <cell r="AE538">
            <v>-7789737.4650299996</v>
          </cell>
        </row>
        <row r="540">
          <cell r="C540">
            <v>-23572.930040000247</v>
          </cell>
          <cell r="D540">
            <v>-6539</v>
          </cell>
          <cell r="E540">
            <v>-2717.6689700001043</v>
          </cell>
          <cell r="F540">
            <v>-5472</v>
          </cell>
          <cell r="G540">
            <v>-38301.599010000355</v>
          </cell>
          <cell r="I540">
            <v>-1093</v>
          </cell>
          <cell r="J540">
            <v>-2386</v>
          </cell>
          <cell r="K540">
            <v>-1265</v>
          </cell>
          <cell r="L540">
            <v>-9032</v>
          </cell>
          <cell r="M540">
            <v>-33629</v>
          </cell>
          <cell r="N540">
            <v>-47405</v>
          </cell>
          <cell r="P540">
            <v>-10599.452479999929</v>
          </cell>
          <cell r="Q540">
            <v>5473.1823300000196</v>
          </cell>
          <cell r="R540">
            <v>-1222</v>
          </cell>
          <cell r="S540">
            <v>2857</v>
          </cell>
          <cell r="T540">
            <v>-3618</v>
          </cell>
          <cell r="U540">
            <v>-4753</v>
          </cell>
          <cell r="V540">
            <v>-11862.270149999909</v>
          </cell>
          <cell r="X540">
            <v>1989</v>
          </cell>
          <cell r="Y540">
            <v>-4541.558860000031</v>
          </cell>
          <cell r="Z540">
            <v>-720</v>
          </cell>
          <cell r="AA540">
            <v>-6653.4287000000641</v>
          </cell>
          <cell r="AB540">
            <v>-15405</v>
          </cell>
          <cell r="AC540">
            <v>-25330.987560000096</v>
          </cell>
          <cell r="AE540">
            <v>-122899.85672000036</v>
          </cell>
        </row>
        <row r="543">
          <cell r="C543">
            <v>-39694.419255999906</v>
          </cell>
          <cell r="D543">
            <v>-20109</v>
          </cell>
          <cell r="E543">
            <v>-10647.818240000001</v>
          </cell>
          <cell r="F543">
            <v>-21322</v>
          </cell>
          <cell r="G543">
            <v>-91773.2374959999</v>
          </cell>
          <cell r="I543">
            <v>-17471</v>
          </cell>
          <cell r="J543">
            <v>-9650</v>
          </cell>
          <cell r="K543">
            <v>-2419</v>
          </cell>
          <cell r="L543">
            <v>-10193</v>
          </cell>
          <cell r="M543">
            <v>-31157</v>
          </cell>
          <cell r="N543">
            <v>-70890</v>
          </cell>
          <cell r="P543">
            <v>-41648.296689999996</v>
          </cell>
          <cell r="Q543">
            <v>-12579.80299</v>
          </cell>
          <cell r="R543">
            <v>-11032</v>
          </cell>
          <cell r="S543">
            <v>-10767</v>
          </cell>
          <cell r="T543">
            <v>-1671</v>
          </cell>
          <cell r="U543">
            <v>-5301</v>
          </cell>
          <cell r="V543">
            <v>-82999.099679999999</v>
          </cell>
          <cell r="X543">
            <v>-46450</v>
          </cell>
          <cell r="Y543">
            <v>-12067.586029999999</v>
          </cell>
          <cell r="Z543">
            <v>-3173</v>
          </cell>
          <cell r="AA543">
            <v>-20086.420040000001</v>
          </cell>
          <cell r="AB543">
            <v>-4757</v>
          </cell>
          <cell r="AC543">
            <v>-86534.006070000003</v>
          </cell>
          <cell r="AE543">
            <v>-332196.34324599989</v>
          </cell>
        </row>
        <row r="544">
          <cell r="C544">
            <v>-4044.9690000000001</v>
          </cell>
          <cell r="D544">
            <v>-656</v>
          </cell>
          <cell r="E544">
            <v>0</v>
          </cell>
          <cell r="F544">
            <v>-374</v>
          </cell>
          <cell r="G544">
            <v>-5074.9690000000001</v>
          </cell>
          <cell r="I544">
            <v>-4</v>
          </cell>
          <cell r="J544">
            <v>-783</v>
          </cell>
          <cell r="K544">
            <v>0</v>
          </cell>
          <cell r="L544">
            <v>-5</v>
          </cell>
          <cell r="M544">
            <v>-172</v>
          </cell>
          <cell r="N544">
            <v>-964</v>
          </cell>
          <cell r="P544">
            <v>-1329.4</v>
          </cell>
          <cell r="Q544">
            <v>-19.09657</v>
          </cell>
          <cell r="R544">
            <v>-36</v>
          </cell>
          <cell r="S544">
            <v>0</v>
          </cell>
          <cell r="T544">
            <v>-234</v>
          </cell>
          <cell r="U544">
            <v>-79</v>
          </cell>
          <cell r="V544">
            <v>-1697.49657</v>
          </cell>
          <cell r="X544">
            <v>0</v>
          </cell>
          <cell r="Y544">
            <v>0</v>
          </cell>
          <cell r="Z544">
            <v>0</v>
          </cell>
          <cell r="AA544">
            <v>-3.8679399999999999</v>
          </cell>
          <cell r="AB544">
            <v>0</v>
          </cell>
          <cell r="AC544">
            <v>-3.8679399999999999</v>
          </cell>
          <cell r="AE544">
            <v>-7740.3335100000004</v>
          </cell>
        </row>
        <row r="545">
          <cell r="C545">
            <v>-13811.320999999998</v>
          </cell>
          <cell r="D545">
            <v>-8970</v>
          </cell>
          <cell r="E545">
            <v>-1388.77952</v>
          </cell>
          <cell r="F545">
            <v>-10916</v>
          </cell>
          <cell r="G545">
            <v>-35086.019520000002</v>
          </cell>
          <cell r="I545">
            <v>-5766</v>
          </cell>
          <cell r="J545">
            <v>-1017</v>
          </cell>
          <cell r="K545">
            <v>-946</v>
          </cell>
          <cell r="L545">
            <v>-1819</v>
          </cell>
          <cell r="M545">
            <v>-6931</v>
          </cell>
          <cell r="N545">
            <v>-16479</v>
          </cell>
          <cell r="P545">
            <v>-18433.229000000003</v>
          </cell>
          <cell r="Q545">
            <v>-2107.6165599999999</v>
          </cell>
          <cell r="R545">
            <v>-2867</v>
          </cell>
          <cell r="S545">
            <v>-3378</v>
          </cell>
          <cell r="T545">
            <v>-1385</v>
          </cell>
          <cell r="U545">
            <v>-2075</v>
          </cell>
          <cell r="V545">
            <v>-30245.845560000002</v>
          </cell>
          <cell r="X545">
            <v>-4529</v>
          </cell>
          <cell r="Y545">
            <v>-2659.19841</v>
          </cell>
          <cell r="Z545">
            <v>-301</v>
          </cell>
          <cell r="AA545">
            <v>-4961.6738299999997</v>
          </cell>
          <cell r="AB545">
            <v>-732</v>
          </cell>
          <cell r="AC545">
            <v>-13182.872240000001</v>
          </cell>
          <cell r="AE545">
            <v>-94993.73732</v>
          </cell>
        </row>
        <row r="546">
          <cell r="C546">
            <v>-32936.132000000005</v>
          </cell>
          <cell r="D546">
            <v>-12441</v>
          </cell>
          <cell r="E546">
            <v>-5644.2699999999986</v>
          </cell>
          <cell r="F546">
            <v>-12406</v>
          </cell>
          <cell r="G546">
            <v>-63427.402000000002</v>
          </cell>
          <cell r="I546">
            <v>-5734</v>
          </cell>
          <cell r="J546">
            <v>-2410</v>
          </cell>
          <cell r="K546">
            <v>-1945</v>
          </cell>
          <cell r="L546">
            <v>-6164</v>
          </cell>
          <cell r="M546">
            <v>-13732</v>
          </cell>
          <cell r="N546">
            <v>-29985</v>
          </cell>
          <cell r="P546">
            <v>-9628.91</v>
          </cell>
          <cell r="Q546">
            <v>-3203.8379999999997</v>
          </cell>
          <cell r="R546">
            <v>-4964</v>
          </cell>
          <cell r="S546">
            <v>-6566</v>
          </cell>
          <cell r="T546">
            <v>-669</v>
          </cell>
          <cell r="U546">
            <v>-2320</v>
          </cell>
          <cell r="V546">
            <v>-27351.748</v>
          </cell>
          <cell r="X546">
            <v>-15055</v>
          </cell>
          <cell r="Y546">
            <v>-4966.5599700000002</v>
          </cell>
          <cell r="Z546">
            <v>-538</v>
          </cell>
          <cell r="AA546">
            <v>-9110.12572</v>
          </cell>
          <cell r="AB546">
            <v>-613</v>
          </cell>
          <cell r="AC546">
            <v>-30282.685690000002</v>
          </cell>
          <cell r="AE546">
            <v>-151046.83569000001</v>
          </cell>
        </row>
        <row r="596">
          <cell r="C596" t="str">
            <v>Auckland DHB</v>
          </cell>
          <cell r="D596" t="str">
            <v>Counties Manukau DHB</v>
          </cell>
          <cell r="E596" t="str">
            <v>Northland DHB</v>
          </cell>
          <cell r="F596" t="str">
            <v>Waitemata DHB</v>
          </cell>
          <cell r="G596" t="str">
            <v xml:space="preserve">   Total</v>
          </cell>
          <cell r="I596" t="str">
            <v>Bay of Plenty DHB</v>
          </cell>
          <cell r="J596" t="str">
            <v>Lakes DHB</v>
          </cell>
          <cell r="K596" t="str">
            <v>Tairawhiti DHB</v>
          </cell>
          <cell r="L596" t="str">
            <v>Taranaki DHB</v>
          </cell>
          <cell r="M596" t="str">
            <v>Waikato DHB</v>
          </cell>
          <cell r="N596" t="str">
            <v xml:space="preserve">   Total</v>
          </cell>
          <cell r="P596" t="str">
            <v>Capital &amp; Coast DHB</v>
          </cell>
          <cell r="Q596" t="str">
            <v>Hawke's Bay DHB</v>
          </cell>
          <cell r="R596" t="str">
            <v>Hutt Valley DHB</v>
          </cell>
          <cell r="S596" t="str">
            <v>MidCentral DHB</v>
          </cell>
          <cell r="T596" t="str">
            <v>Wairarapa DHB</v>
          </cell>
          <cell r="U596" t="str">
            <v>Whanganui DHB</v>
          </cell>
          <cell r="V596" t="str">
            <v xml:space="preserve">   Total</v>
          </cell>
          <cell r="X596" t="str">
            <v>Canterbury DHB</v>
          </cell>
          <cell r="Y596" t="str">
            <v>Nelson Marlborough DHB</v>
          </cell>
          <cell r="Z596" t="str">
            <v>South Canterbury DHB</v>
          </cell>
          <cell r="AA596" t="str">
            <v>Southern DHB</v>
          </cell>
          <cell r="AB596" t="str">
            <v>West Coast DHB</v>
          </cell>
          <cell r="AC596" t="str">
            <v xml:space="preserve">   Total</v>
          </cell>
          <cell r="AE596" t="str">
            <v>All DHBs</v>
          </cell>
        </row>
        <row r="597">
          <cell r="C597">
            <v>1246853.8469999998</v>
          </cell>
          <cell r="D597">
            <v>758456</v>
          </cell>
          <cell r="E597">
            <v>282956.64036000008</v>
          </cell>
          <cell r="F597">
            <v>728135</v>
          </cell>
          <cell r="G597">
            <v>3016401.4873599997</v>
          </cell>
          <cell r="I597">
            <v>328911</v>
          </cell>
          <cell r="J597">
            <v>155895</v>
          </cell>
          <cell r="K597">
            <v>88524</v>
          </cell>
          <cell r="L597">
            <v>172412</v>
          </cell>
          <cell r="M597">
            <v>722962.5</v>
          </cell>
          <cell r="N597">
            <v>1468704.5</v>
          </cell>
          <cell r="P597">
            <v>620354.86887999997</v>
          </cell>
          <cell r="Q597">
            <v>255430.24368999997</v>
          </cell>
          <cell r="R597">
            <v>221120</v>
          </cell>
          <cell r="S597">
            <v>337317</v>
          </cell>
          <cell r="T597">
            <v>58636</v>
          </cell>
          <cell r="U597">
            <v>111961</v>
          </cell>
          <cell r="V597">
            <v>1604819.1125699999</v>
          </cell>
          <cell r="X597">
            <v>1169973</v>
          </cell>
          <cell r="Y597">
            <v>237595.59394999998</v>
          </cell>
          <cell r="Z597">
            <v>88880</v>
          </cell>
          <cell r="AA597">
            <v>479044.48124999995</v>
          </cell>
          <cell r="AB597">
            <v>74420.800000000003</v>
          </cell>
          <cell r="AC597">
            <v>2049913.8751999999</v>
          </cell>
          <cell r="AE597">
            <v>8139838.9751299992</v>
          </cell>
        </row>
        <row r="599">
          <cell r="C599">
            <v>-276881.34700000001</v>
          </cell>
          <cell r="D599">
            <v>-160603</v>
          </cell>
          <cell r="E599">
            <v>-47914.346870000008</v>
          </cell>
          <cell r="F599">
            <v>-143035</v>
          </cell>
          <cell r="G599">
            <v>-628433.69387000008</v>
          </cell>
          <cell r="I599">
            <v>-57638</v>
          </cell>
          <cell r="J599">
            <v>-28872</v>
          </cell>
          <cell r="K599">
            <v>-18423</v>
          </cell>
          <cell r="L599">
            <v>-28574</v>
          </cell>
          <cell r="M599">
            <v>-137077</v>
          </cell>
          <cell r="N599">
            <v>-270584</v>
          </cell>
          <cell r="P599">
            <v>-122005.59212999998</v>
          </cell>
          <cell r="Q599">
            <v>-43027.560429999998</v>
          </cell>
          <cell r="R599">
            <v>-43618</v>
          </cell>
          <cell r="S599">
            <v>-55521</v>
          </cell>
          <cell r="T599">
            <v>-8451</v>
          </cell>
          <cell r="U599">
            <v>-19490</v>
          </cell>
          <cell r="V599">
            <v>-292113.15255999996</v>
          </cell>
          <cell r="X599">
            <v>-168825</v>
          </cell>
          <cell r="Y599">
            <v>-42093.343489999999</v>
          </cell>
          <cell r="Z599">
            <v>-15083</v>
          </cell>
          <cell r="AA599">
            <v>-103444.98035999999</v>
          </cell>
          <cell r="AB599">
            <v>-12783.000000000002</v>
          </cell>
          <cell r="AC599">
            <v>-342229.32384999999</v>
          </cell>
          <cell r="AE599">
            <v>-1533360.17028</v>
          </cell>
        </row>
        <row r="600">
          <cell r="C600">
            <v>-254285.78500000006</v>
          </cell>
          <cell r="D600">
            <v>-193490</v>
          </cell>
          <cell r="E600">
            <v>-71012.777350000004</v>
          </cell>
          <cell r="F600">
            <v>-189214</v>
          </cell>
          <cell r="G600">
            <v>-708002.56235000002</v>
          </cell>
          <cell r="I600">
            <v>-81601</v>
          </cell>
          <cell r="J600">
            <v>-35353</v>
          </cell>
          <cell r="K600">
            <v>-20581</v>
          </cell>
          <cell r="L600">
            <v>-43428</v>
          </cell>
          <cell r="M600">
            <v>-176901</v>
          </cell>
          <cell r="N600">
            <v>-357864</v>
          </cell>
          <cell r="P600">
            <v>-154516.50298000002</v>
          </cell>
          <cell r="Q600">
            <v>-63609.5553</v>
          </cell>
          <cell r="R600">
            <v>-55028</v>
          </cell>
          <cell r="S600">
            <v>-72443</v>
          </cell>
          <cell r="T600">
            <v>-15902</v>
          </cell>
          <cell r="U600">
            <v>-29057</v>
          </cell>
          <cell r="V600">
            <v>-390556.05828</v>
          </cell>
          <cell r="X600">
            <v>-247245</v>
          </cell>
          <cell r="Y600">
            <v>-50050.010399999999</v>
          </cell>
          <cell r="Z600">
            <v>-24518</v>
          </cell>
          <cell r="AA600">
            <v>-121345.40955999999</v>
          </cell>
          <cell r="AB600">
            <v>-24970.5</v>
          </cell>
          <cell r="AC600">
            <v>-468128.91996000003</v>
          </cell>
          <cell r="AE600">
            <v>-1924551.5405900001</v>
          </cell>
        </row>
        <row r="601">
          <cell r="C601">
            <v>-123806.073</v>
          </cell>
          <cell r="D601">
            <v>-73787</v>
          </cell>
          <cell r="E601">
            <v>-31106.281419999981</v>
          </cell>
          <cell r="F601">
            <v>-94516</v>
          </cell>
          <cell r="G601">
            <v>-323215.35441999999</v>
          </cell>
          <cell r="I601">
            <v>-29797</v>
          </cell>
          <cell r="J601">
            <v>-12524</v>
          </cell>
          <cell r="K601">
            <v>-9839</v>
          </cell>
          <cell r="L601">
            <v>-15487</v>
          </cell>
          <cell r="M601">
            <v>-63862</v>
          </cell>
          <cell r="N601">
            <v>-131509</v>
          </cell>
          <cell r="P601">
            <v>-52733.486760000014</v>
          </cell>
          <cell r="Q601">
            <v>-26893.652459999998</v>
          </cell>
          <cell r="R601">
            <v>-29370</v>
          </cell>
          <cell r="S601">
            <v>-26866</v>
          </cell>
          <cell r="T601">
            <v>-4590</v>
          </cell>
          <cell r="U601">
            <v>-9672</v>
          </cell>
          <cell r="V601">
            <v>-150125.13922000001</v>
          </cell>
          <cell r="X601">
            <v>-94138</v>
          </cell>
          <cell r="Y601">
            <v>-34765.487670000002</v>
          </cell>
          <cell r="Z601">
            <v>-7000</v>
          </cell>
          <cell r="AA601">
            <v>-47397.391039999988</v>
          </cell>
          <cell r="AB601">
            <v>-8800.5</v>
          </cell>
          <cell r="AC601">
            <v>-192101.37870999999</v>
          </cell>
          <cell r="AE601">
            <v>-796950.87234999996</v>
          </cell>
        </row>
        <row r="602">
          <cell r="C602">
            <v>-14921.232999999998</v>
          </cell>
          <cell r="D602">
            <v>-20787</v>
          </cell>
          <cell r="E602">
            <v>-3654.7309299999997</v>
          </cell>
          <cell r="F602">
            <v>-12296</v>
          </cell>
          <cell r="G602">
            <v>-51658.963929999998</v>
          </cell>
          <cell r="I602">
            <v>-5500</v>
          </cell>
          <cell r="J602">
            <v>-2896</v>
          </cell>
          <cell r="K602">
            <v>-890</v>
          </cell>
          <cell r="L602">
            <v>-4071</v>
          </cell>
          <cell r="M602">
            <v>-14916</v>
          </cell>
          <cell r="N602">
            <v>-28273</v>
          </cell>
          <cell r="P602">
            <v>-8414.2481000000007</v>
          </cell>
          <cell r="Q602">
            <v>-6404.0276300000005</v>
          </cell>
          <cell r="R602">
            <v>-6563</v>
          </cell>
          <cell r="S602">
            <v>-2011</v>
          </cell>
          <cell r="T602">
            <v>-706</v>
          </cell>
          <cell r="U602">
            <v>-863</v>
          </cell>
          <cell r="V602">
            <v>-24961.275730000001</v>
          </cell>
          <cell r="X602">
            <v>-16655</v>
          </cell>
          <cell r="Y602">
            <v>-4534.0835099999995</v>
          </cell>
          <cell r="Z602">
            <v>-2447</v>
          </cell>
          <cell r="AA602">
            <v>-9219.3988399999998</v>
          </cell>
          <cell r="AB602">
            <v>-1882.9999999999998</v>
          </cell>
          <cell r="AC602">
            <v>-34738.482349999998</v>
          </cell>
          <cell r="AE602">
            <v>-139631.72201</v>
          </cell>
        </row>
        <row r="603">
          <cell r="C603">
            <v>-93610.601750000016</v>
          </cell>
          <cell r="D603">
            <v>-54817</v>
          </cell>
          <cell r="E603">
            <v>-23993.044230000018</v>
          </cell>
          <cell r="F603">
            <v>-53164</v>
          </cell>
          <cell r="G603">
            <v>-225584.64598000006</v>
          </cell>
          <cell r="I603">
            <v>-24247</v>
          </cell>
          <cell r="J603">
            <v>-13409</v>
          </cell>
          <cell r="K603">
            <v>-7544</v>
          </cell>
          <cell r="L603">
            <v>-18289</v>
          </cell>
          <cell r="M603">
            <v>-64436</v>
          </cell>
          <cell r="N603">
            <v>-127925</v>
          </cell>
          <cell r="P603">
            <v>-49452.470450000037</v>
          </cell>
          <cell r="Q603">
            <v>-23102.087019999999</v>
          </cell>
          <cell r="R603">
            <v>-18635</v>
          </cell>
          <cell r="S603">
            <v>-20005</v>
          </cell>
          <cell r="T603">
            <v>-4540</v>
          </cell>
          <cell r="U603">
            <v>-8758</v>
          </cell>
          <cell r="V603">
            <v>-124492.55747000003</v>
          </cell>
          <cell r="X603">
            <v>-66722</v>
          </cell>
          <cell r="Y603">
            <v>-20952.504760000003</v>
          </cell>
          <cell r="Z603">
            <v>-7394</v>
          </cell>
          <cell r="AA603">
            <v>-38925.739379999992</v>
          </cell>
          <cell r="AB603">
            <v>-6719.9629999999988</v>
          </cell>
          <cell r="AC603">
            <v>-140714.20713999998</v>
          </cell>
          <cell r="AE603">
            <v>-618716.41058999998</v>
          </cell>
        </row>
        <row r="604">
          <cell r="A604" t="str">
            <v>Total Personnel</v>
          </cell>
          <cell r="C604">
            <v>-763505.03975000023</v>
          </cell>
          <cell r="D604">
            <v>-503484</v>
          </cell>
          <cell r="E604">
            <v>-177681.1808</v>
          </cell>
          <cell r="F604">
            <v>-492225</v>
          </cell>
          <cell r="G604">
            <v>-1936895.2205500002</v>
          </cell>
          <cell r="I604">
            <v>-198783</v>
          </cell>
          <cell r="J604">
            <v>-93054</v>
          </cell>
          <cell r="K604">
            <v>-57277</v>
          </cell>
          <cell r="L604">
            <v>-109849</v>
          </cell>
          <cell r="M604">
            <v>-457192</v>
          </cell>
          <cell r="N604">
            <v>-916155</v>
          </cell>
          <cell r="P604">
            <v>-387122.30041999999</v>
          </cell>
          <cell r="Q604">
            <v>-163036.88284000006</v>
          </cell>
          <cell r="R604">
            <v>-153214</v>
          </cell>
          <cell r="S604">
            <v>-176846</v>
          </cell>
          <cell r="T604">
            <v>-34189</v>
          </cell>
          <cell r="U604">
            <v>-67840</v>
          </cell>
          <cell r="V604">
            <v>-982248.18326000008</v>
          </cell>
          <cell r="X604">
            <v>-593585</v>
          </cell>
          <cell r="Y604">
            <v>-152395.42982999998</v>
          </cell>
          <cell r="Z604">
            <v>-56442</v>
          </cell>
          <cell r="AA604">
            <v>-320332.91917999997</v>
          </cell>
          <cell r="AB604">
            <v>-55156.962999999996</v>
          </cell>
          <cell r="AC604">
            <v>-1177912.31201</v>
          </cell>
          <cell r="AE604">
            <v>-5013210.7158199996</v>
          </cell>
        </row>
        <row r="606">
          <cell r="A606" t="str">
            <v xml:space="preserve">    Outsourced Services</v>
          </cell>
          <cell r="C606">
            <v>-87522.723999999987</v>
          </cell>
          <cell r="D606">
            <v>-61298</v>
          </cell>
          <cell r="E606">
            <v>-23390.001179999999</v>
          </cell>
          <cell r="F606">
            <v>-52956</v>
          </cell>
          <cell r="G606">
            <v>-225166.72517999998</v>
          </cell>
          <cell r="I606">
            <v>-21862</v>
          </cell>
          <cell r="J606">
            <v>-10249</v>
          </cell>
          <cell r="K606">
            <v>-5804</v>
          </cell>
          <cell r="L606">
            <v>-21617</v>
          </cell>
          <cell r="M606">
            <v>-60403</v>
          </cell>
          <cell r="N606">
            <v>-119935</v>
          </cell>
          <cell r="P606">
            <v>-20378.940340000001</v>
          </cell>
          <cell r="Q606">
            <v>-13182.9565</v>
          </cell>
          <cell r="R606">
            <v>-9194</v>
          </cell>
          <cell r="S606">
            <v>-20700</v>
          </cell>
          <cell r="T606">
            <v>-7398</v>
          </cell>
          <cell r="U606">
            <v>-12351</v>
          </cell>
          <cell r="V606">
            <v>-83204.896840000001</v>
          </cell>
          <cell r="X606">
            <v>-19420</v>
          </cell>
          <cell r="Y606">
            <v>-11334.242250000001</v>
          </cell>
          <cell r="Z606">
            <v>-8922</v>
          </cell>
          <cell r="AA606">
            <v>-16945.648820000002</v>
          </cell>
          <cell r="AB606">
            <v>-10194.755000000001</v>
          </cell>
          <cell r="AC606">
            <v>-66816.646070000003</v>
          </cell>
          <cell r="AE606">
            <v>-495123.26808999997</v>
          </cell>
        </row>
        <row r="607">
          <cell r="C607">
            <v>-851027.76375000016</v>
          </cell>
          <cell r="D607">
            <v>-564782</v>
          </cell>
          <cell r="E607">
            <v>-201071.18197999999</v>
          </cell>
          <cell r="F607">
            <v>-545181</v>
          </cell>
          <cell r="G607">
            <v>-2162061.9457300003</v>
          </cell>
          <cell r="I607">
            <v>-220645</v>
          </cell>
          <cell r="J607">
            <v>-103303</v>
          </cell>
          <cell r="K607">
            <v>-63081</v>
          </cell>
          <cell r="L607">
            <v>-131466</v>
          </cell>
          <cell r="M607">
            <v>-517595</v>
          </cell>
          <cell r="N607">
            <v>-1036090</v>
          </cell>
          <cell r="P607">
            <v>-407501.24075999996</v>
          </cell>
          <cell r="Q607">
            <v>-176219.83934000006</v>
          </cell>
          <cell r="R607">
            <v>-162408</v>
          </cell>
          <cell r="S607">
            <v>-197546</v>
          </cell>
          <cell r="T607">
            <v>-41587</v>
          </cell>
          <cell r="U607">
            <v>-80191</v>
          </cell>
          <cell r="V607">
            <v>-1065453.0800999999</v>
          </cell>
          <cell r="X607">
            <v>-613005</v>
          </cell>
          <cell r="Y607">
            <v>-163729.67207999999</v>
          </cell>
          <cell r="Z607">
            <v>-65364</v>
          </cell>
          <cell r="AA607">
            <v>-337278.56799999997</v>
          </cell>
          <cell r="AB607">
            <v>-65351.717999999993</v>
          </cell>
          <cell r="AC607">
            <v>-1244728.9580799998</v>
          </cell>
          <cell r="AE607">
            <v>-5508333.98391</v>
          </cell>
        </row>
        <row r="609">
          <cell r="C609">
            <v>-227904.63699999999</v>
          </cell>
          <cell r="D609">
            <v>-109065</v>
          </cell>
          <cell r="E609">
            <v>-42453.258179999997</v>
          </cell>
          <cell r="F609">
            <v>-92695</v>
          </cell>
          <cell r="G609">
            <v>-472117.89517999999</v>
          </cell>
          <cell r="I609">
            <v>-53790</v>
          </cell>
          <cell r="J609">
            <v>-23175</v>
          </cell>
          <cell r="K609">
            <v>-13806</v>
          </cell>
          <cell r="L609">
            <v>-23116</v>
          </cell>
          <cell r="M609">
            <v>-128618</v>
          </cell>
          <cell r="N609">
            <v>-242505</v>
          </cell>
          <cell r="P609">
            <v>-121921.13103999999</v>
          </cell>
          <cell r="Q609">
            <v>-43080.86338000001</v>
          </cell>
          <cell r="R609">
            <v>-27208</v>
          </cell>
          <cell r="S609">
            <v>-50401</v>
          </cell>
          <cell r="T609">
            <v>-8876</v>
          </cell>
          <cell r="U609">
            <v>-15437</v>
          </cell>
          <cell r="V609">
            <v>-266923.99442</v>
          </cell>
          <cell r="X609">
            <v>-123148</v>
          </cell>
          <cell r="Y609">
            <v>-35182.510890000005</v>
          </cell>
          <cell r="Z609">
            <v>-10310</v>
          </cell>
          <cell r="AA609">
            <v>-77277.60921000001</v>
          </cell>
          <cell r="AB609">
            <v>-7368.9780000000001</v>
          </cell>
          <cell r="AC609">
            <v>-253287.0981</v>
          </cell>
          <cell r="AE609">
            <v>-1234833.9876999999</v>
          </cell>
        </row>
        <row r="611">
          <cell r="C611">
            <v>-175410.04624999998</v>
          </cell>
          <cell r="D611">
            <v>-90445</v>
          </cell>
          <cell r="E611">
            <v>-40251.566760000009</v>
          </cell>
          <cell r="F611">
            <v>-96945</v>
          </cell>
          <cell r="G611">
            <v>-403051.61301000003</v>
          </cell>
          <cell r="I611">
            <v>-59359</v>
          </cell>
          <cell r="J611">
            <v>-27832</v>
          </cell>
          <cell r="K611">
            <v>-14270</v>
          </cell>
          <cell r="L611">
            <v>-27679</v>
          </cell>
          <cell r="M611">
            <v>-119462</v>
          </cell>
          <cell r="N611">
            <v>-248602</v>
          </cell>
          <cell r="P611">
            <v>-97588.286560000008</v>
          </cell>
          <cell r="Q611">
            <v>-40442.202849999994</v>
          </cell>
          <cell r="R611">
            <v>-35343</v>
          </cell>
          <cell r="S611">
            <v>-83237</v>
          </cell>
          <cell r="T611">
            <v>-10581</v>
          </cell>
          <cell r="U611">
            <v>-19906</v>
          </cell>
          <cell r="V611">
            <v>-287097.48941000004</v>
          </cell>
          <cell r="X611">
            <v>-177192</v>
          </cell>
          <cell r="Y611">
            <v>-40574.858590000003</v>
          </cell>
          <cell r="Z611">
            <v>-13544</v>
          </cell>
          <cell r="AA611">
            <v>-67816.645450000011</v>
          </cell>
          <cell r="AB611">
            <v>-17664.449999999997</v>
          </cell>
          <cell r="AC611">
            <v>-316791.95404000004</v>
          </cell>
          <cell r="AE611">
            <v>-1255543.0564600001</v>
          </cell>
        </row>
        <row r="613">
          <cell r="C613">
            <v>0</v>
          </cell>
          <cell r="D613">
            <v>0</v>
          </cell>
          <cell r="E613">
            <v>0</v>
          </cell>
          <cell r="F613">
            <v>0</v>
          </cell>
          <cell r="G613">
            <v>0</v>
          </cell>
          <cell r="I613">
            <v>0</v>
          </cell>
          <cell r="J613">
            <v>0</v>
          </cell>
          <cell r="K613">
            <v>0</v>
          </cell>
          <cell r="L613">
            <v>0</v>
          </cell>
          <cell r="M613">
            <v>0</v>
          </cell>
          <cell r="N613">
            <v>0</v>
          </cell>
          <cell r="P613">
            <v>0</v>
          </cell>
          <cell r="Q613">
            <v>0</v>
          </cell>
          <cell r="R613">
            <v>0</v>
          </cell>
          <cell r="S613">
            <v>0</v>
          </cell>
          <cell r="T613">
            <v>0</v>
          </cell>
          <cell r="U613">
            <v>0</v>
          </cell>
          <cell r="V613">
            <v>0</v>
          </cell>
          <cell r="X613">
            <v>0</v>
          </cell>
          <cell r="Y613">
            <v>0</v>
          </cell>
          <cell r="Z613">
            <v>0</v>
          </cell>
          <cell r="AA613">
            <v>0</v>
          </cell>
          <cell r="AB613">
            <v>0</v>
          </cell>
          <cell r="AC613">
            <v>0</v>
          </cell>
          <cell r="AE613">
            <v>0</v>
          </cell>
        </row>
        <row r="615">
          <cell r="C615">
            <v>-5979.4080000000004</v>
          </cell>
          <cell r="D615">
            <v>0</v>
          </cell>
          <cell r="E615">
            <v>814.02346000000171</v>
          </cell>
          <cell r="F615">
            <v>0</v>
          </cell>
          <cell r="G615">
            <v>-5165.3845399999991</v>
          </cell>
          <cell r="I615">
            <v>-4508</v>
          </cell>
          <cell r="J615">
            <v>-1802</v>
          </cell>
          <cell r="K615">
            <v>0</v>
          </cell>
          <cell r="L615">
            <v>4</v>
          </cell>
          <cell r="M615">
            <v>2317</v>
          </cell>
          <cell r="N615">
            <v>-3989</v>
          </cell>
          <cell r="P615">
            <v>2159.3504999999996</v>
          </cell>
          <cell r="Q615">
            <v>910</v>
          </cell>
          <cell r="R615">
            <v>585</v>
          </cell>
          <cell r="S615">
            <v>-5994</v>
          </cell>
          <cell r="T615">
            <v>0</v>
          </cell>
          <cell r="U615">
            <v>-554</v>
          </cell>
          <cell r="V615">
            <v>-2893.6495000000004</v>
          </cell>
          <cell r="X615">
            <v>-6310</v>
          </cell>
          <cell r="Y615">
            <v>1863.3948300000002</v>
          </cell>
          <cell r="Z615">
            <v>749</v>
          </cell>
          <cell r="AA615">
            <v>0</v>
          </cell>
          <cell r="AB615">
            <v>-1320</v>
          </cell>
          <cell r="AC615">
            <v>-5017.6051699999998</v>
          </cell>
          <cell r="AE615">
            <v>-17065.639209999998</v>
          </cell>
        </row>
        <row r="616">
          <cell r="C616">
            <v>-409294.09125</v>
          </cell>
          <cell r="D616">
            <v>-199510</v>
          </cell>
          <cell r="E616">
            <v>-81890.801480000009</v>
          </cell>
          <cell r="F616">
            <v>-189640</v>
          </cell>
          <cell r="G616">
            <v>-880334.89273000008</v>
          </cell>
          <cell r="I616">
            <v>-117657</v>
          </cell>
          <cell r="J616">
            <v>-52809</v>
          </cell>
          <cell r="K616">
            <v>-28076</v>
          </cell>
          <cell r="L616">
            <v>-50791</v>
          </cell>
          <cell r="M616">
            <v>-245763</v>
          </cell>
          <cell r="N616">
            <v>-495096</v>
          </cell>
          <cell r="P616">
            <v>-217350.06709999999</v>
          </cell>
          <cell r="Q616">
            <v>-82613.066229999997</v>
          </cell>
          <cell r="R616">
            <v>-61966</v>
          </cell>
          <cell r="S616">
            <v>-139632</v>
          </cell>
          <cell r="T616">
            <v>-19457</v>
          </cell>
          <cell r="U616">
            <v>-35897</v>
          </cell>
          <cell r="V616">
            <v>-556915.13332999998</v>
          </cell>
          <cell r="X616">
            <v>-306650</v>
          </cell>
          <cell r="Y616">
            <v>-73893.974650000004</v>
          </cell>
          <cell r="Z616">
            <v>-23105</v>
          </cell>
          <cell r="AA616">
            <v>-145094.25466000004</v>
          </cell>
          <cell r="AB616">
            <v>-26353.427999999996</v>
          </cell>
          <cell r="AC616">
            <v>-575096.65731000004</v>
          </cell>
          <cell r="AE616">
            <v>-2507442.6833700002</v>
          </cell>
        </row>
        <row r="618">
          <cell r="A618" t="str">
            <v>TOTAL EXPENDITURE</v>
          </cell>
          <cell r="C618">
            <v>-1260321.855</v>
          </cell>
          <cell r="D618">
            <v>-764292</v>
          </cell>
          <cell r="E618">
            <v>-282961.98345999996</v>
          </cell>
          <cell r="F618">
            <v>-734821</v>
          </cell>
          <cell r="G618">
            <v>-3042396.8384599998</v>
          </cell>
          <cell r="I618">
            <v>-338302</v>
          </cell>
          <cell r="J618">
            <v>-156112</v>
          </cell>
          <cell r="K618">
            <v>-91157</v>
          </cell>
          <cell r="L618">
            <v>-182257</v>
          </cell>
          <cell r="M618">
            <v>-763358</v>
          </cell>
          <cell r="N618">
            <v>-1531186</v>
          </cell>
          <cell r="P618">
            <v>-624851.30785999994</v>
          </cell>
          <cell r="Q618">
            <v>-258832.90557</v>
          </cell>
          <cell r="R618">
            <v>-224374</v>
          </cell>
          <cell r="S618">
            <v>-337178</v>
          </cell>
          <cell r="T618">
            <v>-61044</v>
          </cell>
          <cell r="U618">
            <v>-116088</v>
          </cell>
          <cell r="V618">
            <v>-1622368.21343</v>
          </cell>
          <cell r="X618">
            <v>-919655</v>
          </cell>
          <cell r="Y618">
            <v>-237623.64672999998</v>
          </cell>
          <cell r="Z618">
            <v>-88469</v>
          </cell>
          <cell r="AA618">
            <v>-482372.82266000001</v>
          </cell>
          <cell r="AB618">
            <v>-91705.146000000022</v>
          </cell>
          <cell r="AC618">
            <v>-1819825.6153899999</v>
          </cell>
          <cell r="AE618">
            <v>-8015776.6672800006</v>
          </cell>
        </row>
        <row r="620">
          <cell r="C620">
            <v>-13468.008000000165</v>
          </cell>
          <cell r="D620">
            <v>-5836</v>
          </cell>
          <cell r="E620">
            <v>-5.3430999998946618</v>
          </cell>
          <cell r="F620">
            <v>-6686</v>
          </cell>
          <cell r="G620">
            <v>-25995.351100000062</v>
          </cell>
          <cell r="I620">
            <v>-9391</v>
          </cell>
          <cell r="J620">
            <v>-217</v>
          </cell>
          <cell r="K620">
            <v>-2633</v>
          </cell>
          <cell r="L620">
            <v>-9845</v>
          </cell>
          <cell r="M620">
            <v>-40395.5</v>
          </cell>
          <cell r="N620">
            <v>-62481.5</v>
          </cell>
          <cell r="P620">
            <v>-4496.4389800000008</v>
          </cell>
          <cell r="Q620">
            <v>-3402.6618800000215</v>
          </cell>
          <cell r="R620">
            <v>-3254</v>
          </cell>
          <cell r="S620">
            <v>139</v>
          </cell>
          <cell r="T620">
            <v>-2408</v>
          </cell>
          <cell r="U620">
            <v>-4127</v>
          </cell>
          <cell r="V620">
            <v>-17549.10086000002</v>
          </cell>
          <cell r="X620">
            <v>250318</v>
          </cell>
          <cell r="Y620">
            <v>-28.052780000022153</v>
          </cell>
          <cell r="Z620">
            <v>411</v>
          </cell>
          <cell r="AA620">
            <v>-3328.3414100000191</v>
          </cell>
          <cell r="AB620">
            <v>-17284.345999999998</v>
          </cell>
          <cell r="AC620">
            <v>230088.25980999996</v>
          </cell>
          <cell r="AE620">
            <v>124062.30784999988</v>
          </cell>
        </row>
        <row r="623">
          <cell r="C623">
            <v>-39818</v>
          </cell>
          <cell r="D623">
            <v>-23594</v>
          </cell>
          <cell r="E623">
            <v>-11104.352799999999</v>
          </cell>
          <cell r="F623">
            <v>-21150</v>
          </cell>
          <cell r="G623">
            <v>-95666.352799999993</v>
          </cell>
          <cell r="I623">
            <v>-18466</v>
          </cell>
          <cell r="J623">
            <v>-9629</v>
          </cell>
          <cell r="K623">
            <v>-2528</v>
          </cell>
          <cell r="L623">
            <v>-11662</v>
          </cell>
          <cell r="M623">
            <v>-33664</v>
          </cell>
          <cell r="N623">
            <v>-75949</v>
          </cell>
          <cell r="P623">
            <v>-41867.373960000004</v>
          </cell>
          <cell r="Q623">
            <v>-13250.817930000001</v>
          </cell>
          <cell r="R623">
            <v>-11455</v>
          </cell>
          <cell r="S623">
            <v>-13396</v>
          </cell>
          <cell r="T623">
            <v>-1686</v>
          </cell>
          <cell r="U623">
            <v>-4852</v>
          </cell>
          <cell r="V623">
            <v>-86507.191890000002</v>
          </cell>
          <cell r="X623">
            <v>-48174</v>
          </cell>
          <cell r="Y623">
            <v>-11403.15805</v>
          </cell>
          <cell r="Z623">
            <v>-3095</v>
          </cell>
          <cell r="AA623">
            <v>-14122.750259999995</v>
          </cell>
          <cell r="AB623">
            <v>-4155.8919999999998</v>
          </cell>
          <cell r="AC623">
            <v>-80950.800309999991</v>
          </cell>
          <cell r="AE623">
            <v>-339073.34499999997</v>
          </cell>
        </row>
        <row r="624">
          <cell r="C624">
            <v>-4000.71</v>
          </cell>
          <cell r="D624">
            <v>-132</v>
          </cell>
          <cell r="E624">
            <v>0</v>
          </cell>
          <cell r="F624">
            <v>-37</v>
          </cell>
          <cell r="G624">
            <v>-4169.71</v>
          </cell>
          <cell r="I624">
            <v>0</v>
          </cell>
          <cell r="J624">
            <v>-795</v>
          </cell>
          <cell r="K624">
            <v>-3</v>
          </cell>
          <cell r="L624">
            <v>-119</v>
          </cell>
          <cell r="M624">
            <v>-327</v>
          </cell>
          <cell r="N624">
            <v>-1244</v>
          </cell>
          <cell r="P624">
            <v>-477.39600000000002</v>
          </cell>
          <cell r="Q624">
            <v>0</v>
          </cell>
          <cell r="R624">
            <v>-67</v>
          </cell>
          <cell r="S624">
            <v>0</v>
          </cell>
          <cell r="T624">
            <v>-43</v>
          </cell>
          <cell r="U624">
            <v>-9</v>
          </cell>
          <cell r="V624">
            <v>-596.39599999999996</v>
          </cell>
          <cell r="X624">
            <v>0</v>
          </cell>
          <cell r="Y624">
            <v>0</v>
          </cell>
          <cell r="Z624">
            <v>0</v>
          </cell>
          <cell r="AA624">
            <v>-363.12633</v>
          </cell>
          <cell r="AB624">
            <v>0</v>
          </cell>
          <cell r="AC624">
            <v>-363.12633</v>
          </cell>
          <cell r="AE624">
            <v>-6373.2323299999998</v>
          </cell>
        </row>
        <row r="625">
          <cell r="C625">
            <v>-13697.783999999998</v>
          </cell>
          <cell r="D625">
            <v>-8134</v>
          </cell>
          <cell r="E625">
            <v>-1266.31215</v>
          </cell>
          <cell r="F625">
            <v>-11500</v>
          </cell>
          <cell r="G625">
            <v>-34598.096149999998</v>
          </cell>
          <cell r="I625">
            <v>-6007</v>
          </cell>
          <cell r="J625">
            <v>-1436</v>
          </cell>
          <cell r="K625">
            <v>-907</v>
          </cell>
          <cell r="L625">
            <v>-1713</v>
          </cell>
          <cell r="M625">
            <v>-8491</v>
          </cell>
          <cell r="N625">
            <v>-18554</v>
          </cell>
          <cell r="P625">
            <v>-17412.701000000001</v>
          </cell>
          <cell r="Q625">
            <v>-2293.1209599999997</v>
          </cell>
          <cell r="R625">
            <v>-3795</v>
          </cell>
          <cell r="S625">
            <v>-3255</v>
          </cell>
          <cell r="T625">
            <v>-1290</v>
          </cell>
          <cell r="U625">
            <v>-2076</v>
          </cell>
          <cell r="V625">
            <v>-30121.821960000001</v>
          </cell>
          <cell r="X625">
            <v>-5716</v>
          </cell>
          <cell r="Y625">
            <v>-2844.4000499999997</v>
          </cell>
          <cell r="Z625">
            <v>-321</v>
          </cell>
          <cell r="AA625">
            <v>-4967.3346499999998</v>
          </cell>
          <cell r="AB625">
            <v>-649.5</v>
          </cell>
          <cell r="AC625">
            <v>-14498.234700000001</v>
          </cell>
          <cell r="AE625">
            <v>-97772.15281</v>
          </cell>
        </row>
        <row r="626">
          <cell r="C626">
            <v>-33499.664000000004</v>
          </cell>
          <cell r="D626">
            <v>-12738</v>
          </cell>
          <cell r="E626">
            <v>-8855.4699999999993</v>
          </cell>
          <cell r="F626">
            <v>-13664</v>
          </cell>
          <cell r="G626">
            <v>-68757.134000000005</v>
          </cell>
          <cell r="I626">
            <v>-5897</v>
          </cell>
          <cell r="J626">
            <v>-3964</v>
          </cell>
          <cell r="K626">
            <v>-2843</v>
          </cell>
          <cell r="L626">
            <v>-5778</v>
          </cell>
          <cell r="M626">
            <v>-14202</v>
          </cell>
          <cell r="N626">
            <v>-32684</v>
          </cell>
          <cell r="P626">
            <v>-9407.512999999999</v>
          </cell>
          <cell r="Q626">
            <v>-3624.444</v>
          </cell>
          <cell r="R626">
            <v>-5308</v>
          </cell>
          <cell r="S626">
            <v>-9278</v>
          </cell>
          <cell r="T626">
            <v>-685</v>
          </cell>
          <cell r="U626">
            <v>-1962</v>
          </cell>
          <cell r="V626">
            <v>-30264.956999999999</v>
          </cell>
          <cell r="X626">
            <v>-13019</v>
          </cell>
          <cell r="Y626">
            <v>-5694.5280000000012</v>
          </cell>
          <cell r="Z626">
            <v>-664</v>
          </cell>
          <cell r="AA626">
            <v>-9601.61</v>
          </cell>
          <cell r="AB626">
            <v>-676.7</v>
          </cell>
          <cell r="AC626">
            <v>-29655.838000000003</v>
          </cell>
          <cell r="AE626">
            <v>-161361.929</v>
          </cell>
        </row>
        <row r="676">
          <cell r="C676" t="str">
            <v>Auckland DHB</v>
          </cell>
          <cell r="D676" t="str">
            <v>Counties Manukau DHB</v>
          </cell>
          <cell r="E676" t="str">
            <v>Northland DHB</v>
          </cell>
          <cell r="F676" t="str">
            <v>Waitemata DHB</v>
          </cell>
          <cell r="G676" t="str">
            <v xml:space="preserve">   Total</v>
          </cell>
          <cell r="I676" t="str">
            <v>Bay of Plenty DHB</v>
          </cell>
          <cell r="J676" t="str">
            <v>Lakes DHB</v>
          </cell>
          <cell r="K676" t="str">
            <v>Tairawhiti DHB</v>
          </cell>
          <cell r="L676" t="str">
            <v>Taranaki DHB</v>
          </cell>
          <cell r="M676" t="str">
            <v>Waikato DHB</v>
          </cell>
          <cell r="N676" t="str">
            <v xml:space="preserve">   Total</v>
          </cell>
          <cell r="P676" t="str">
            <v>Capital &amp; Coast DHB</v>
          </cell>
          <cell r="Q676" t="str">
            <v>Hawke's Bay DHB</v>
          </cell>
          <cell r="R676" t="str">
            <v>Hutt Valley DHB</v>
          </cell>
          <cell r="S676" t="str">
            <v>MidCentral DHB</v>
          </cell>
          <cell r="T676" t="str">
            <v>Wairarapa DHB</v>
          </cell>
          <cell r="U676" t="str">
            <v>Whanganui DHB</v>
          </cell>
          <cell r="V676" t="str">
            <v xml:space="preserve">   Total</v>
          </cell>
          <cell r="X676" t="str">
            <v>Canterbury DHB</v>
          </cell>
          <cell r="Y676" t="str">
            <v>Nelson Marlborough DHB</v>
          </cell>
          <cell r="Z676" t="str">
            <v>South Canterbury DHB</v>
          </cell>
          <cell r="AA676" t="str">
            <v>Southern DHB</v>
          </cell>
          <cell r="AB676" t="str">
            <v>West Coast DHB</v>
          </cell>
          <cell r="AC676" t="str">
            <v xml:space="preserve">   Total</v>
          </cell>
          <cell r="AE676" t="str">
            <v>All DHBs</v>
          </cell>
        </row>
        <row r="677">
          <cell r="C677">
            <v>1284416.4286999996</v>
          </cell>
          <cell r="D677">
            <v>794906</v>
          </cell>
          <cell r="E677">
            <v>293825.90363000013</v>
          </cell>
          <cell r="F677">
            <v>772157</v>
          </cell>
          <cell r="G677">
            <v>3145305.3323299997</v>
          </cell>
          <cell r="I677">
            <v>334637</v>
          </cell>
          <cell r="J677">
            <v>159609</v>
          </cell>
          <cell r="K677">
            <v>90316</v>
          </cell>
          <cell r="L677">
            <v>174629</v>
          </cell>
          <cell r="M677">
            <v>747589.4</v>
          </cell>
          <cell r="N677">
            <v>1506780.4</v>
          </cell>
          <cell r="P677">
            <v>628621.26751000015</v>
          </cell>
          <cell r="Q677">
            <v>264266.65463999996</v>
          </cell>
          <cell r="R677">
            <v>226470</v>
          </cell>
          <cell r="S677">
            <v>348804</v>
          </cell>
          <cell r="T677">
            <v>61045</v>
          </cell>
          <cell r="U677">
            <v>116295</v>
          </cell>
          <cell r="V677">
            <v>1645501.92215</v>
          </cell>
          <cell r="X677">
            <v>918950</v>
          </cell>
          <cell r="Y677">
            <v>240870.58663999994</v>
          </cell>
          <cell r="Z677">
            <v>91471</v>
          </cell>
          <cell r="AA677">
            <v>486135.24886000011</v>
          </cell>
          <cell r="AB677">
            <v>81324</v>
          </cell>
          <cell r="AC677">
            <v>1818750.8355</v>
          </cell>
          <cell r="AE677">
            <v>8116338.4899800001</v>
          </cell>
        </row>
        <row r="679">
          <cell r="C679">
            <v>-299347</v>
          </cell>
          <cell r="D679">
            <v>-163881</v>
          </cell>
          <cell r="E679">
            <v>-52040.558239999998</v>
          </cell>
          <cell r="F679">
            <v>-149142</v>
          </cell>
          <cell r="G679">
            <v>-664410.55823999993</v>
          </cell>
          <cell r="I679">
            <v>-60404</v>
          </cell>
          <cell r="J679">
            <v>-29890</v>
          </cell>
          <cell r="K679">
            <v>-17484</v>
          </cell>
          <cell r="L679">
            <v>-28865</v>
          </cell>
          <cell r="M679">
            <v>-146417</v>
          </cell>
          <cell r="N679">
            <v>-283060</v>
          </cell>
          <cell r="P679">
            <v>-129053.25422000002</v>
          </cell>
          <cell r="Q679">
            <v>-44765.589670000001</v>
          </cell>
          <cell r="R679">
            <v>-43677</v>
          </cell>
          <cell r="S679">
            <v>-57986</v>
          </cell>
          <cell r="T679">
            <v>-8203</v>
          </cell>
          <cell r="U679">
            <v>-19925</v>
          </cell>
          <cell r="V679">
            <v>-303609.84389000002</v>
          </cell>
          <cell r="X679">
            <v>-173706</v>
          </cell>
          <cell r="Y679">
            <v>-42447.412409999997</v>
          </cell>
          <cell r="Z679">
            <v>-16743</v>
          </cell>
          <cell r="AA679">
            <v>-110845.43167000001</v>
          </cell>
          <cell r="AB679">
            <v>-11442</v>
          </cell>
          <cell r="AC679">
            <v>-355183.84408000001</v>
          </cell>
          <cell r="AE679">
            <v>-1606264.2462099998</v>
          </cell>
        </row>
        <row r="680">
          <cell r="C680">
            <v>-270166</v>
          </cell>
          <cell r="D680">
            <v>-199234</v>
          </cell>
          <cell r="E680">
            <v>-73349.197829000041</v>
          </cell>
          <cell r="F680">
            <v>-199331</v>
          </cell>
          <cell r="G680">
            <v>-742080.19782900007</v>
          </cell>
          <cell r="I680">
            <v>-85119</v>
          </cell>
          <cell r="J680">
            <v>-37038</v>
          </cell>
          <cell r="K680">
            <v>-21952</v>
          </cell>
          <cell r="L680">
            <v>-44163</v>
          </cell>
          <cell r="M680">
            <v>-186515.00000000003</v>
          </cell>
          <cell r="N680">
            <v>-374787</v>
          </cell>
          <cell r="P680">
            <v>-160967.06049999999</v>
          </cell>
          <cell r="Q680">
            <v>-67804.416360000003</v>
          </cell>
          <cell r="R680">
            <v>-56791</v>
          </cell>
          <cell r="S680">
            <v>-75228</v>
          </cell>
          <cell r="T680">
            <v>-16095</v>
          </cell>
          <cell r="U680">
            <v>-29510</v>
          </cell>
          <cell r="V680">
            <v>-406395.47686</v>
          </cell>
          <cell r="X680">
            <v>-256045</v>
          </cell>
          <cell r="Y680">
            <v>-52661.344999999994</v>
          </cell>
          <cell r="Z680">
            <v>-25073</v>
          </cell>
          <cell r="AA680">
            <v>-124143.10047</v>
          </cell>
          <cell r="AB680">
            <v>-26032</v>
          </cell>
          <cell r="AC680">
            <v>-483954.44546999998</v>
          </cell>
          <cell r="AE680">
            <v>-2007217.1201590002</v>
          </cell>
        </row>
        <row r="681">
          <cell r="C681">
            <v>-131963</v>
          </cell>
          <cell r="D681">
            <v>-76734</v>
          </cell>
          <cell r="E681">
            <v>-32730.429819999976</v>
          </cell>
          <cell r="F681">
            <v>-100461</v>
          </cell>
          <cell r="G681">
            <v>-341888.42981999996</v>
          </cell>
          <cell r="I681">
            <v>-30752</v>
          </cell>
          <cell r="J681">
            <v>-13206</v>
          </cell>
          <cell r="K681">
            <v>-10059</v>
          </cell>
          <cell r="L681">
            <v>-15737</v>
          </cell>
          <cell r="M681">
            <v>-66472.600000000006</v>
          </cell>
          <cell r="N681">
            <v>-136226.6</v>
          </cell>
          <cell r="P681">
            <v>-55205.921490000015</v>
          </cell>
          <cell r="Q681">
            <v>-27505.725859999999</v>
          </cell>
          <cell r="R681">
            <v>-29955</v>
          </cell>
          <cell r="S681">
            <v>-28225</v>
          </cell>
          <cell r="T681">
            <v>-5005</v>
          </cell>
          <cell r="U681">
            <v>-9655</v>
          </cell>
          <cell r="V681">
            <v>-155551.64735000001</v>
          </cell>
          <cell r="X681">
            <v>-97998</v>
          </cell>
          <cell r="Y681">
            <v>-35382.893629999991</v>
          </cell>
          <cell r="Z681">
            <v>-7670</v>
          </cell>
          <cell r="AA681">
            <v>-49021.401780000007</v>
          </cell>
          <cell r="AB681">
            <v>-9270</v>
          </cell>
          <cell r="AC681">
            <v>-199342.29541000002</v>
          </cell>
          <cell r="AE681">
            <v>-833008.97257999994</v>
          </cell>
        </row>
        <row r="682">
          <cell r="C682">
            <v>-18123</v>
          </cell>
          <cell r="D682">
            <v>-22918</v>
          </cell>
          <cell r="E682">
            <v>-4342.35689</v>
          </cell>
          <cell r="F682">
            <v>-13299</v>
          </cell>
          <cell r="G682">
            <v>-58682.356890000003</v>
          </cell>
          <cell r="I682">
            <v>-5708</v>
          </cell>
          <cell r="J682">
            <v>-2994</v>
          </cell>
          <cell r="K682">
            <v>-846</v>
          </cell>
          <cell r="L682">
            <v>-4320</v>
          </cell>
          <cell r="M682">
            <v>-16023.6</v>
          </cell>
          <cell r="N682">
            <v>-29891.599999999999</v>
          </cell>
          <cell r="P682">
            <v>-8986.0508899999986</v>
          </cell>
          <cell r="Q682">
            <v>-6616.6058000000012</v>
          </cell>
          <cell r="R682">
            <v>-6725</v>
          </cell>
          <cell r="S682">
            <v>-2016</v>
          </cell>
          <cell r="T682">
            <v>-710</v>
          </cell>
          <cell r="U682">
            <v>-935</v>
          </cell>
          <cell r="V682">
            <v>-25988.65669</v>
          </cell>
          <cell r="X682">
            <v>-17198</v>
          </cell>
          <cell r="Y682">
            <v>-4748.4302000000007</v>
          </cell>
          <cell r="Z682">
            <v>-2339</v>
          </cell>
          <cell r="AA682">
            <v>-9731.6276499999985</v>
          </cell>
          <cell r="AB682">
            <v>-1334</v>
          </cell>
          <cell r="AC682">
            <v>-35351.057849999997</v>
          </cell>
          <cell r="AE682">
            <v>-149913.67142999999</v>
          </cell>
        </row>
        <row r="683">
          <cell r="C683">
            <v>-82189</v>
          </cell>
          <cell r="D683">
            <v>-54122</v>
          </cell>
          <cell r="E683">
            <v>-23908.924260000003</v>
          </cell>
          <cell r="F683">
            <v>-54741</v>
          </cell>
          <cell r="G683">
            <v>-214960.92426</v>
          </cell>
          <cell r="I683">
            <v>-25839</v>
          </cell>
          <cell r="J683">
            <v>-13656</v>
          </cell>
          <cell r="K683">
            <v>-7815</v>
          </cell>
          <cell r="L683">
            <v>-16936</v>
          </cell>
          <cell r="M683">
            <v>-65732</v>
          </cell>
          <cell r="N683">
            <v>-129978</v>
          </cell>
          <cell r="P683">
            <v>-49598.939350000008</v>
          </cell>
          <cell r="Q683">
            <v>-23227.938680000003</v>
          </cell>
          <cell r="R683">
            <v>-19362</v>
          </cell>
          <cell r="S683">
            <v>-20510</v>
          </cell>
          <cell r="T683">
            <v>-4351</v>
          </cell>
          <cell r="U683">
            <v>-9071</v>
          </cell>
          <cell r="V683">
            <v>-126120.87803000001</v>
          </cell>
          <cell r="X683">
            <v>-77946</v>
          </cell>
          <cell r="Y683">
            <v>-20029.502730000004</v>
          </cell>
          <cell r="Z683">
            <v>-7725</v>
          </cell>
          <cell r="AA683">
            <v>-39340.309459999989</v>
          </cell>
          <cell r="AB683">
            <v>-6801</v>
          </cell>
          <cell r="AC683">
            <v>-143741.81219</v>
          </cell>
          <cell r="AE683">
            <v>-614801.61447999999</v>
          </cell>
        </row>
        <row r="684">
          <cell r="A684" t="str">
            <v>Total Personnel</v>
          </cell>
          <cell r="C684">
            <v>-801788</v>
          </cell>
          <cell r="D684">
            <v>-516889</v>
          </cell>
          <cell r="E684">
            <v>-186371.46703900004</v>
          </cell>
          <cell r="F684">
            <v>-516974</v>
          </cell>
          <cell r="G684">
            <v>-2022022.467039</v>
          </cell>
          <cell r="I684">
            <v>-207822</v>
          </cell>
          <cell r="J684">
            <v>-96784</v>
          </cell>
          <cell r="K684">
            <v>-58156</v>
          </cell>
          <cell r="L684">
            <v>-110021</v>
          </cell>
          <cell r="M684">
            <v>-481160.2</v>
          </cell>
          <cell r="N684">
            <v>-953943.2</v>
          </cell>
          <cell r="P684">
            <v>-403811.22645000002</v>
          </cell>
          <cell r="Q684">
            <v>-169920.27637000007</v>
          </cell>
          <cell r="R684">
            <v>-156510</v>
          </cell>
          <cell r="S684">
            <v>-183965</v>
          </cell>
          <cell r="T684">
            <v>-34364</v>
          </cell>
          <cell r="U684">
            <v>-69096</v>
          </cell>
          <cell r="V684">
            <v>-1017666.5028200001</v>
          </cell>
          <cell r="X684">
            <v>-614793</v>
          </cell>
          <cell r="Y684">
            <v>-155269.58397000004</v>
          </cell>
          <cell r="Z684">
            <v>-59550</v>
          </cell>
          <cell r="AA684">
            <v>-333081.87103000004</v>
          </cell>
          <cell r="AB684">
            <v>-54879</v>
          </cell>
          <cell r="AC684">
            <v>-1217573.4550000001</v>
          </cell>
          <cell r="AE684">
            <v>-5211205.6248589996</v>
          </cell>
        </row>
        <row r="686">
          <cell r="A686" t="str">
            <v xml:space="preserve">    Outsourced Services</v>
          </cell>
          <cell r="C686">
            <v>-84765.995999999999</v>
          </cell>
          <cell r="D686">
            <v>-64971</v>
          </cell>
          <cell r="E686">
            <v>-23520.251850000001</v>
          </cell>
          <cell r="F686">
            <v>-58576</v>
          </cell>
          <cell r="G686">
            <v>-231833.24784999999</v>
          </cell>
          <cell r="I686">
            <v>-23476</v>
          </cell>
          <cell r="J686">
            <v>-8698</v>
          </cell>
          <cell r="K686">
            <v>-6076</v>
          </cell>
          <cell r="L686">
            <v>-20011</v>
          </cell>
          <cell r="M686">
            <v>-52354.8</v>
          </cell>
          <cell r="N686">
            <v>-110615.8</v>
          </cell>
          <cell r="P686">
            <v>-19905.172010000002</v>
          </cell>
          <cell r="Q686">
            <v>-15532.709039999998</v>
          </cell>
          <cell r="R686">
            <v>-11019</v>
          </cell>
          <cell r="S686">
            <v>-21687</v>
          </cell>
          <cell r="T686">
            <v>-9340</v>
          </cell>
          <cell r="U686">
            <v>-12595</v>
          </cell>
          <cell r="V686">
            <v>-90078.881049999996</v>
          </cell>
          <cell r="X686">
            <v>-20083</v>
          </cell>
          <cell r="Y686">
            <v>-13657.83021</v>
          </cell>
          <cell r="Z686">
            <v>-10321</v>
          </cell>
          <cell r="AA686">
            <v>-15611.013120000003</v>
          </cell>
          <cell r="AB686">
            <v>-7387</v>
          </cell>
          <cell r="AC686">
            <v>-67059.843330000003</v>
          </cell>
          <cell r="AE686">
            <v>-499587.77222999994</v>
          </cell>
        </row>
        <row r="687">
          <cell r="C687">
            <v>-886553.99600000004</v>
          </cell>
          <cell r="D687">
            <v>-581860</v>
          </cell>
          <cell r="E687">
            <v>-209891.71888900004</v>
          </cell>
          <cell r="F687">
            <v>-575550</v>
          </cell>
          <cell r="G687">
            <v>-2253855.7148890002</v>
          </cell>
          <cell r="I687">
            <v>-231298</v>
          </cell>
          <cell r="J687">
            <v>-105482</v>
          </cell>
          <cell r="K687">
            <v>-64232</v>
          </cell>
          <cell r="L687">
            <v>-130032</v>
          </cell>
          <cell r="M687">
            <v>-533515</v>
          </cell>
          <cell r="N687">
            <v>-1064559</v>
          </cell>
          <cell r="P687">
            <v>-423716.39846</v>
          </cell>
          <cell r="Q687">
            <v>-185452.98541000005</v>
          </cell>
          <cell r="R687">
            <v>-167529</v>
          </cell>
          <cell r="S687">
            <v>-205652</v>
          </cell>
          <cell r="T687">
            <v>-43704</v>
          </cell>
          <cell r="U687">
            <v>-81691</v>
          </cell>
          <cell r="V687">
            <v>-1107745.38387</v>
          </cell>
          <cell r="X687">
            <v>-634876</v>
          </cell>
          <cell r="Y687">
            <v>-168927.41418000002</v>
          </cell>
          <cell r="Z687">
            <v>-77971</v>
          </cell>
          <cell r="AA687">
            <v>-348692.88415000006</v>
          </cell>
          <cell r="AB687">
            <v>-62266</v>
          </cell>
          <cell r="AC687">
            <v>-1284633.2983300001</v>
          </cell>
          <cell r="AE687">
            <v>-5710793.3970890008</v>
          </cell>
        </row>
        <row r="689">
          <cell r="C689">
            <v>-230626.62299999999</v>
          </cell>
          <cell r="D689">
            <v>-111120</v>
          </cell>
          <cell r="E689">
            <v>-41297.758110000002</v>
          </cell>
          <cell r="F689">
            <v>-102450</v>
          </cell>
          <cell r="G689">
            <v>-485494.38111000002</v>
          </cell>
          <cell r="I689">
            <v>-52936</v>
          </cell>
          <cell r="J689">
            <v>-23666</v>
          </cell>
          <cell r="K689">
            <v>-13377</v>
          </cell>
          <cell r="L689">
            <v>-24442</v>
          </cell>
          <cell r="M689">
            <v>-139108.79999999999</v>
          </cell>
          <cell r="N689">
            <v>-253529.8</v>
          </cell>
          <cell r="P689">
            <v>-119544.89336</v>
          </cell>
          <cell r="Q689">
            <v>-44639.10699</v>
          </cell>
          <cell r="R689">
            <v>-27919</v>
          </cell>
          <cell r="S689">
            <v>-48839</v>
          </cell>
          <cell r="T689">
            <v>-9138</v>
          </cell>
          <cell r="U689">
            <v>-15677</v>
          </cell>
          <cell r="V689">
            <v>-265757.00034999999</v>
          </cell>
          <cell r="X689">
            <v>-129601</v>
          </cell>
          <cell r="Y689">
            <v>-34727.868210000001</v>
          </cell>
          <cell r="Z689">
            <v>-11317</v>
          </cell>
          <cell r="AA689">
            <v>-82044.631569999998</v>
          </cell>
          <cell r="AB689">
            <v>-7727</v>
          </cell>
          <cell r="AC689">
            <v>-265417.49977999995</v>
          </cell>
          <cell r="AE689">
            <v>-1270198.6812399998</v>
          </cell>
        </row>
        <row r="691">
          <cell r="C691">
            <v>-174010.951</v>
          </cell>
          <cell r="D691">
            <v>-105123</v>
          </cell>
          <cell r="E691">
            <v>-43537.201690000009</v>
          </cell>
          <cell r="F691">
            <v>-99204</v>
          </cell>
          <cell r="G691">
            <v>-421875.15269000002</v>
          </cell>
          <cell r="I691">
            <v>-57333</v>
          </cell>
          <cell r="J691">
            <v>-29100</v>
          </cell>
          <cell r="K691">
            <v>-14050</v>
          </cell>
          <cell r="L691">
            <v>-33333</v>
          </cell>
          <cell r="M691">
            <v>-121467.5</v>
          </cell>
          <cell r="N691">
            <v>-255283.5</v>
          </cell>
          <cell r="P691">
            <v>-108965.78189000001</v>
          </cell>
          <cell r="Q691">
            <v>-43163.944989999989</v>
          </cell>
          <cell r="R691">
            <v>-35972</v>
          </cell>
          <cell r="S691">
            <v>-89425</v>
          </cell>
          <cell r="T691">
            <v>-10249</v>
          </cell>
          <cell r="U691">
            <v>-19973</v>
          </cell>
          <cell r="V691">
            <v>-307748.72687999997</v>
          </cell>
          <cell r="X691">
            <v>-177592</v>
          </cell>
          <cell r="Y691">
            <v>-40756.186610000004</v>
          </cell>
          <cell r="Z691">
            <v>-13285</v>
          </cell>
          <cell r="AA691">
            <v>-68816.421279999995</v>
          </cell>
          <cell r="AB691">
            <v>-17207</v>
          </cell>
          <cell r="AC691">
            <v>-317656.60788999998</v>
          </cell>
          <cell r="AE691">
            <v>-1302563.98746</v>
          </cell>
        </row>
        <row r="693">
          <cell r="C693">
            <v>0</v>
          </cell>
          <cell r="D693">
            <v>0</v>
          </cell>
          <cell r="E693">
            <v>0</v>
          </cell>
          <cell r="F693">
            <v>0</v>
          </cell>
          <cell r="G693">
            <v>0</v>
          </cell>
          <cell r="I693">
            <v>0</v>
          </cell>
          <cell r="J693">
            <v>0</v>
          </cell>
          <cell r="K693">
            <v>0</v>
          </cell>
          <cell r="L693">
            <v>0</v>
          </cell>
          <cell r="M693">
            <v>0</v>
          </cell>
          <cell r="N693">
            <v>0</v>
          </cell>
          <cell r="P693">
            <v>0</v>
          </cell>
          <cell r="Q693">
            <v>0</v>
          </cell>
          <cell r="R693">
            <v>0</v>
          </cell>
          <cell r="S693">
            <v>0</v>
          </cell>
          <cell r="T693">
            <v>0</v>
          </cell>
          <cell r="U693">
            <v>0</v>
          </cell>
          <cell r="V693">
            <v>0</v>
          </cell>
          <cell r="X693">
            <v>0</v>
          </cell>
          <cell r="Y693">
            <v>0</v>
          </cell>
          <cell r="Z693">
            <v>0</v>
          </cell>
          <cell r="AA693">
            <v>0</v>
          </cell>
          <cell r="AB693">
            <v>0</v>
          </cell>
          <cell r="AC693">
            <v>0</v>
          </cell>
          <cell r="AE693">
            <v>0</v>
          </cell>
        </row>
        <row r="695">
          <cell r="C695">
            <v>-10597.654</v>
          </cell>
          <cell r="D695">
            <v>0</v>
          </cell>
          <cell r="E695">
            <v>332.83252000000164</v>
          </cell>
          <cell r="F695">
            <v>0</v>
          </cell>
          <cell r="G695">
            <v>-10264.821479999999</v>
          </cell>
          <cell r="I695">
            <v>1609</v>
          </cell>
          <cell r="J695">
            <v>-1548</v>
          </cell>
          <cell r="K695">
            <v>0</v>
          </cell>
          <cell r="L695">
            <v>4</v>
          </cell>
          <cell r="M695">
            <v>2315</v>
          </cell>
          <cell r="N695">
            <v>2380</v>
          </cell>
          <cell r="P695">
            <v>2160.4888700000015</v>
          </cell>
          <cell r="Q695">
            <v>927</v>
          </cell>
          <cell r="R695">
            <v>637</v>
          </cell>
          <cell r="S695">
            <v>-6684</v>
          </cell>
          <cell r="T695">
            <v>0</v>
          </cell>
          <cell r="U695">
            <v>-726</v>
          </cell>
          <cell r="V695">
            <v>-3685.5111299999985</v>
          </cell>
          <cell r="X695">
            <v>-7933</v>
          </cell>
          <cell r="Y695">
            <v>1627.1190000000001</v>
          </cell>
          <cell r="Z695">
            <v>749</v>
          </cell>
          <cell r="AA695">
            <v>0</v>
          </cell>
          <cell r="AB695">
            <v>-1344</v>
          </cell>
          <cell r="AC695">
            <v>-6900.8809999999994</v>
          </cell>
          <cell r="AE695">
            <v>-18471.213609999999</v>
          </cell>
        </row>
        <row r="696">
          <cell r="C696">
            <v>-415235.228</v>
          </cell>
          <cell r="D696">
            <v>-216243</v>
          </cell>
          <cell r="E696">
            <v>-84502.127280000015</v>
          </cell>
          <cell r="F696">
            <v>-201654</v>
          </cell>
          <cell r="G696">
            <v>-917634.35528000002</v>
          </cell>
          <cell r="I696">
            <v>-108660</v>
          </cell>
          <cell r="J696">
            <v>-54314</v>
          </cell>
          <cell r="K696">
            <v>-27427</v>
          </cell>
          <cell r="L696">
            <v>-57771</v>
          </cell>
          <cell r="M696">
            <v>-258261.3</v>
          </cell>
          <cell r="N696">
            <v>-506433.3</v>
          </cell>
          <cell r="P696">
            <v>-226350.18638000003</v>
          </cell>
          <cell r="Q696">
            <v>-86876.051979999989</v>
          </cell>
          <cell r="R696">
            <v>-63254</v>
          </cell>
          <cell r="S696">
            <v>-144948</v>
          </cell>
          <cell r="T696">
            <v>-19387</v>
          </cell>
          <cell r="U696">
            <v>-36376</v>
          </cell>
          <cell r="V696">
            <v>-577191.23836000008</v>
          </cell>
          <cell r="X696">
            <v>-315126</v>
          </cell>
          <cell r="Y696">
            <v>-73856.935819999999</v>
          </cell>
          <cell r="Z696">
            <v>-23853</v>
          </cell>
          <cell r="AA696">
            <v>-150861.05284999998</v>
          </cell>
          <cell r="AB696">
            <v>-26278</v>
          </cell>
          <cell r="AC696">
            <v>-589974.98866999999</v>
          </cell>
          <cell r="AE696">
            <v>-2591233.8823100002</v>
          </cell>
        </row>
        <row r="698">
          <cell r="A698" t="str">
            <v>TOTAL EXPENDITURE</v>
          </cell>
          <cell r="C698">
            <v>-1301789.2239999999</v>
          </cell>
          <cell r="D698">
            <v>-798103</v>
          </cell>
          <cell r="E698">
            <v>-294393.84616900003</v>
          </cell>
          <cell r="F698">
            <v>-777204</v>
          </cell>
          <cell r="G698">
            <v>-3171490.070169</v>
          </cell>
          <cell r="I698">
            <v>-339958</v>
          </cell>
          <cell r="J698">
            <v>-159796</v>
          </cell>
          <cell r="K698">
            <v>-91659</v>
          </cell>
          <cell r="L698">
            <v>-187803</v>
          </cell>
          <cell r="M698">
            <v>-791776.3</v>
          </cell>
          <cell r="N698">
            <v>-1570992.3</v>
          </cell>
          <cell r="P698">
            <v>-650066.58484000002</v>
          </cell>
          <cell r="Q698">
            <v>-272329.03738999995</v>
          </cell>
          <cell r="R698">
            <v>-230783</v>
          </cell>
          <cell r="S698">
            <v>-350600</v>
          </cell>
          <cell r="T698">
            <v>-63091</v>
          </cell>
          <cell r="U698">
            <v>-118067</v>
          </cell>
          <cell r="V698">
            <v>-1684936.6222299999</v>
          </cell>
          <cell r="X698">
            <v>-950002</v>
          </cell>
          <cell r="Y698">
            <v>-242784.35000000003</v>
          </cell>
          <cell r="Z698">
            <v>-93724</v>
          </cell>
          <cell r="AA698">
            <v>-499553.93700000009</v>
          </cell>
          <cell r="AB698">
            <v>-88544</v>
          </cell>
          <cell r="AC698">
            <v>-1874608.2870000002</v>
          </cell>
          <cell r="AE698">
            <v>-8302027.2793990001</v>
          </cell>
        </row>
        <row r="700">
          <cell r="C700">
            <v>-17372.795299999965</v>
          </cell>
          <cell r="D700">
            <v>-3197</v>
          </cell>
          <cell r="E700">
            <v>-567.94253899983403</v>
          </cell>
          <cell r="F700">
            <v>-5047</v>
          </cell>
          <cell r="G700">
            <v>-26184.737838999798</v>
          </cell>
          <cell r="I700">
            <v>-5321</v>
          </cell>
          <cell r="J700">
            <v>-187</v>
          </cell>
          <cell r="K700">
            <v>-1343</v>
          </cell>
          <cell r="L700">
            <v>-13174</v>
          </cell>
          <cell r="M700">
            <v>-44186.899999999965</v>
          </cell>
          <cell r="N700">
            <v>-64211.899999999965</v>
          </cell>
          <cell r="P700">
            <v>-21445.317329999856</v>
          </cell>
          <cell r="Q700">
            <v>-8062.3827500000079</v>
          </cell>
          <cell r="R700">
            <v>-4313</v>
          </cell>
          <cell r="S700">
            <v>-1796</v>
          </cell>
          <cell r="T700">
            <v>-2046</v>
          </cell>
          <cell r="U700">
            <v>-1772</v>
          </cell>
          <cell r="V700">
            <v>-39434.700079999864</v>
          </cell>
          <cell r="X700">
            <v>-31052</v>
          </cell>
          <cell r="Y700">
            <v>-1913.7633600000968</v>
          </cell>
          <cell r="Z700">
            <v>-2253</v>
          </cell>
          <cell r="AA700">
            <v>-13418.688139999871</v>
          </cell>
          <cell r="AB700">
            <v>-7220</v>
          </cell>
          <cell r="AC700">
            <v>-55857.451499999966</v>
          </cell>
          <cell r="AE700">
            <v>-185688.7894189996</v>
          </cell>
        </row>
        <row r="703">
          <cell r="C703">
            <v>-40333.000000000007</v>
          </cell>
          <cell r="D703">
            <v>-29923</v>
          </cell>
          <cell r="E703">
            <v>-11137.297189999999</v>
          </cell>
          <cell r="F703">
            <v>-23390</v>
          </cell>
          <cell r="G703">
            <v>-104783.29719</v>
          </cell>
          <cell r="I703">
            <v>-18227</v>
          </cell>
          <cell r="J703">
            <v>-10105</v>
          </cell>
          <cell r="K703">
            <v>-2781</v>
          </cell>
          <cell r="L703">
            <v>-12151</v>
          </cell>
          <cell r="M703">
            <v>-38432</v>
          </cell>
          <cell r="N703">
            <v>-81696</v>
          </cell>
          <cell r="P703">
            <v>-34509.615720000009</v>
          </cell>
          <cell r="Q703">
            <v>-13992.23942</v>
          </cell>
          <cell r="R703">
            <v>-10983</v>
          </cell>
          <cell r="S703">
            <v>-13455</v>
          </cell>
          <cell r="T703">
            <v>-1697</v>
          </cell>
          <cell r="U703">
            <v>-4762</v>
          </cell>
          <cell r="V703">
            <v>-79398.85514</v>
          </cell>
          <cell r="X703">
            <v>-58396</v>
          </cell>
          <cell r="Y703">
            <v>-11194.850930000001</v>
          </cell>
          <cell r="Z703">
            <v>-3686</v>
          </cell>
          <cell r="AA703">
            <v>-19962.176719999999</v>
          </cell>
          <cell r="AB703">
            <v>-4373</v>
          </cell>
          <cell r="AC703">
            <v>-97612.027650000004</v>
          </cell>
          <cell r="AE703">
            <v>-363490.17998000002</v>
          </cell>
        </row>
        <row r="704">
          <cell r="C704">
            <v>-3987.0339999999997</v>
          </cell>
          <cell r="D704">
            <v>0</v>
          </cell>
          <cell r="E704">
            <v>0</v>
          </cell>
          <cell r="F704">
            <v>0</v>
          </cell>
          <cell r="G704">
            <v>-3987.0339999999997</v>
          </cell>
          <cell r="I704">
            <v>0</v>
          </cell>
          <cell r="J704">
            <v>-765</v>
          </cell>
          <cell r="K704">
            <v>-96</v>
          </cell>
          <cell r="L704">
            <v>-2</v>
          </cell>
          <cell r="M704">
            <v>-843</v>
          </cell>
          <cell r="N704">
            <v>-1706</v>
          </cell>
          <cell r="P704">
            <v>-17.084</v>
          </cell>
          <cell r="Q704">
            <v>0</v>
          </cell>
          <cell r="R704">
            <v>-63</v>
          </cell>
          <cell r="S704">
            <v>0</v>
          </cell>
          <cell r="T704">
            <v>-36</v>
          </cell>
          <cell r="U704">
            <v>2</v>
          </cell>
          <cell r="V704">
            <v>-114.084</v>
          </cell>
          <cell r="X704">
            <v>0</v>
          </cell>
          <cell r="Y704">
            <v>0</v>
          </cell>
          <cell r="Z704">
            <v>0</v>
          </cell>
          <cell r="AA704">
            <v>0</v>
          </cell>
          <cell r="AB704">
            <v>0</v>
          </cell>
          <cell r="AC704">
            <v>0</v>
          </cell>
          <cell r="AE704">
            <v>-5807.1179999999995</v>
          </cell>
        </row>
        <row r="705">
          <cell r="C705">
            <v>-12339.362999999998</v>
          </cell>
          <cell r="D705">
            <v>-8822</v>
          </cell>
          <cell r="E705">
            <v>-1064.15012</v>
          </cell>
          <cell r="F705">
            <v>-12743</v>
          </cell>
          <cell r="G705">
            <v>-34968.513119999996</v>
          </cell>
          <cell r="I705">
            <v>-6255</v>
          </cell>
          <cell r="J705">
            <v>-1604</v>
          </cell>
          <cell r="K705">
            <v>-759</v>
          </cell>
          <cell r="L705">
            <v>-1482</v>
          </cell>
          <cell r="M705">
            <v>-9405</v>
          </cell>
          <cell r="N705">
            <v>-19505</v>
          </cell>
          <cell r="P705">
            <v>-16555.966</v>
          </cell>
          <cell r="Q705">
            <v>-2593.60275</v>
          </cell>
          <cell r="R705">
            <v>-3903</v>
          </cell>
          <cell r="S705">
            <v>-2978</v>
          </cell>
          <cell r="T705">
            <v>-1136</v>
          </cell>
          <cell r="U705">
            <v>-2052</v>
          </cell>
          <cell r="V705">
            <v>-29218.568749999999</v>
          </cell>
          <cell r="X705">
            <v>-5454</v>
          </cell>
          <cell r="Y705">
            <v>-2875.63636</v>
          </cell>
          <cell r="Z705">
            <v>-326</v>
          </cell>
          <cell r="AA705">
            <v>-4513.7532000000001</v>
          </cell>
          <cell r="AB705">
            <v>-713</v>
          </cell>
          <cell r="AC705">
            <v>-13882.38956</v>
          </cell>
          <cell r="AE705">
            <v>-97574.471429999991</v>
          </cell>
        </row>
        <row r="706">
          <cell r="C706">
            <v>-37226.947999999989</v>
          </cell>
          <cell r="D706">
            <v>-15527</v>
          </cell>
          <cell r="E706">
            <v>-8960.1209599999984</v>
          </cell>
          <cell r="F706">
            <v>-15188</v>
          </cell>
          <cell r="G706">
            <v>-76902.06895999999</v>
          </cell>
          <cell r="I706">
            <v>-5932</v>
          </cell>
          <cell r="J706">
            <v>-3910</v>
          </cell>
          <cell r="K706">
            <v>-2669</v>
          </cell>
          <cell r="L706">
            <v>-6693</v>
          </cell>
          <cell r="M706">
            <v>-16015</v>
          </cell>
          <cell r="N706">
            <v>-35219</v>
          </cell>
          <cell r="P706">
            <v>-8578.3580000000002</v>
          </cell>
          <cell r="Q706">
            <v>-3664.3000000000006</v>
          </cell>
          <cell r="R706">
            <v>-7410</v>
          </cell>
          <cell r="S706">
            <v>-10143</v>
          </cell>
          <cell r="T706">
            <v>-297</v>
          </cell>
          <cell r="U706">
            <v>-1655</v>
          </cell>
          <cell r="V706">
            <v>-31747.658000000003</v>
          </cell>
          <cell r="X706">
            <v>-18990</v>
          </cell>
          <cell r="Y706">
            <v>-5366.9365099999995</v>
          </cell>
          <cell r="Z706">
            <v>-490</v>
          </cell>
          <cell r="AA706">
            <v>-9815.5420000000013</v>
          </cell>
          <cell r="AB706">
            <v>-753</v>
          </cell>
          <cell r="AC706">
            <v>-35415.478510000001</v>
          </cell>
          <cell r="AE706">
            <v>-179284.20546999999</v>
          </cell>
        </row>
        <row r="757">
          <cell r="C757" t="str">
            <v>Small</v>
          </cell>
          <cell r="D757" t="str">
            <v>Auckland DHB</v>
          </cell>
          <cell r="E757" t="str">
            <v>Counties Manukau DHB</v>
          </cell>
          <cell r="F757" t="str">
            <v>Northland DHB</v>
          </cell>
          <cell r="G757" t="str">
            <v>Waitemata DHB</v>
          </cell>
          <cell r="H757" t="str">
            <v xml:space="preserve">   Total</v>
          </cell>
          <cell r="J757" t="str">
            <v>Bay of Plenty DHB</v>
          </cell>
          <cell r="K757" t="str">
            <v>Lakes DHB</v>
          </cell>
          <cell r="L757" t="str">
            <v>Tairawhiti DHB</v>
          </cell>
          <cell r="M757" t="str">
            <v>Taranaki DHB</v>
          </cell>
          <cell r="N757" t="str">
            <v>Waikato DHB</v>
          </cell>
          <cell r="O757" t="str">
            <v xml:space="preserve">   Total</v>
          </cell>
          <cell r="Q757" t="str">
            <v>Capital &amp; Coast DHB</v>
          </cell>
          <cell r="R757" t="str">
            <v>Hawke's Bay DHB</v>
          </cell>
          <cell r="S757" t="str">
            <v>Hutt Valley DHB</v>
          </cell>
          <cell r="T757" t="str">
            <v>MidCentral DHB</v>
          </cell>
          <cell r="U757" t="str">
            <v>Wairarapa DHB</v>
          </cell>
          <cell r="V757" t="str">
            <v>Whanganui DHB</v>
          </cell>
          <cell r="W757" t="str">
            <v xml:space="preserve">   Total</v>
          </cell>
          <cell r="Y757" t="str">
            <v>Canterbury DHB</v>
          </cell>
          <cell r="Z757" t="str">
            <v>Nelson Marlborough DHB</v>
          </cell>
          <cell r="AA757" t="str">
            <v>South Canterbury DHB</v>
          </cell>
          <cell r="AB757" t="str">
            <v>Southern DHB</v>
          </cell>
          <cell r="AC757" t="str">
            <v>West Coast DHB</v>
          </cell>
          <cell r="AD757" t="str">
            <v xml:space="preserve">   Total</v>
          </cell>
          <cell r="AF757" t="str">
            <v>All DHBs</v>
          </cell>
        </row>
        <row r="758">
          <cell r="C758">
            <v>443342.69999999995</v>
          </cell>
          <cell r="D758">
            <v>1340477.4470000004</v>
          </cell>
          <cell r="E758">
            <v>828642</v>
          </cell>
          <cell r="F758">
            <v>305914.84492999985</v>
          </cell>
          <cell r="G758">
            <v>831056</v>
          </cell>
          <cell r="H758">
            <v>3306090.2919300003</v>
          </cell>
          <cell r="J758">
            <v>357773</v>
          </cell>
          <cell r="K758">
            <v>165944.99888999999</v>
          </cell>
          <cell r="L758">
            <v>91060</v>
          </cell>
          <cell r="M758">
            <v>181168</v>
          </cell>
          <cell r="N758">
            <v>762195.9286300001</v>
          </cell>
          <cell r="O758">
            <v>1558141.9275199999</v>
          </cell>
          <cell r="Q758">
            <v>634275.39681000006</v>
          </cell>
          <cell r="R758">
            <v>276004.11765000003</v>
          </cell>
          <cell r="S758">
            <v>226025</v>
          </cell>
          <cell r="T758">
            <v>349867</v>
          </cell>
          <cell r="U758">
            <v>59962.700000000004</v>
          </cell>
          <cell r="V758">
            <v>118817</v>
          </cell>
          <cell r="W758">
            <v>1664951.2144600002</v>
          </cell>
          <cell r="Y758">
            <v>970076</v>
          </cell>
          <cell r="Z758">
            <v>250283.802</v>
          </cell>
          <cell r="AA758">
            <v>91075</v>
          </cell>
          <cell r="AB758">
            <v>500199.36453999992</v>
          </cell>
          <cell r="AC758">
            <v>82428</v>
          </cell>
          <cell r="AD758">
            <v>1894062.1665399999</v>
          </cell>
          <cell r="AF758">
            <v>8423245.6004500017</v>
          </cell>
        </row>
        <row r="760">
          <cell r="C760">
            <v>-75980.299999999988</v>
          </cell>
          <cell r="D760">
            <v>-304420.12300000014</v>
          </cell>
          <cell r="E760">
            <v>-173913</v>
          </cell>
          <cell r="F760">
            <v>-55330.171449999994</v>
          </cell>
          <cell r="G760">
            <v>-166971</v>
          </cell>
          <cell r="H760">
            <v>-700634.29445000016</v>
          </cell>
          <cell r="J760">
            <v>-63291</v>
          </cell>
          <cell r="K760">
            <v>-31352</v>
          </cell>
          <cell r="L760">
            <v>-18040</v>
          </cell>
          <cell r="M760">
            <v>-30508</v>
          </cell>
          <cell r="N760">
            <v>-149289.80355999997</v>
          </cell>
          <cell r="O760">
            <v>-292480.80355999997</v>
          </cell>
          <cell r="Q760">
            <v>-133207.32728999999</v>
          </cell>
          <cell r="R760">
            <v>-48020.372160000006</v>
          </cell>
          <cell r="S760">
            <v>-47366</v>
          </cell>
          <cell r="T760">
            <v>-59318</v>
          </cell>
          <cell r="U760">
            <v>-9599.2999999999993</v>
          </cell>
          <cell r="V760">
            <v>-20477</v>
          </cell>
          <cell r="W760">
            <v>-317987.99944999994</v>
          </cell>
          <cell r="Y760">
            <v>-178078</v>
          </cell>
          <cell r="Z760">
            <v>-42095.832570000006</v>
          </cell>
          <cell r="AA760">
            <v>-16646</v>
          </cell>
          <cell r="AB760">
            <v>-114592.39903</v>
          </cell>
          <cell r="AC760">
            <v>-11218</v>
          </cell>
          <cell r="AD760">
            <v>-362630.2316</v>
          </cell>
          <cell r="AF760">
            <v>-1673733.3290600001</v>
          </cell>
        </row>
        <row r="761">
          <cell r="C761">
            <v>-125760.7</v>
          </cell>
          <cell r="D761">
            <v>-276772.50399999984</v>
          </cell>
          <cell r="E761">
            <v>-206249</v>
          </cell>
          <cell r="F761">
            <v>-77064.424520000015</v>
          </cell>
          <cell r="G761">
            <v>-213994</v>
          </cell>
          <cell r="H761">
            <v>-774079.92851999984</v>
          </cell>
          <cell r="J761">
            <v>-88022</v>
          </cell>
          <cell r="K761">
            <v>-39433</v>
          </cell>
          <cell r="L761">
            <v>-22829</v>
          </cell>
          <cell r="M761">
            <v>-45459</v>
          </cell>
          <cell r="N761">
            <v>-194299.11374000003</v>
          </cell>
          <cell r="O761">
            <v>-390042.11374000006</v>
          </cell>
          <cell r="Q761">
            <v>-159060.81146999999</v>
          </cell>
          <cell r="R761">
            <v>-70516.676520000008</v>
          </cell>
          <cell r="S761">
            <v>-59604</v>
          </cell>
          <cell r="T761">
            <v>-76697</v>
          </cell>
          <cell r="U761">
            <v>-17015.7</v>
          </cell>
          <cell r="V761">
            <v>-30522</v>
          </cell>
          <cell r="W761">
            <v>-413416.18799000001</v>
          </cell>
          <cell r="Y761">
            <v>-265584</v>
          </cell>
          <cell r="Z761">
            <v>-53773.351980000007</v>
          </cell>
          <cell r="AA761">
            <v>-27315</v>
          </cell>
          <cell r="AB761">
            <v>-128740.47705999999</v>
          </cell>
          <cell r="AC761">
            <v>-28079</v>
          </cell>
          <cell r="AD761">
            <v>-503491.82904000004</v>
          </cell>
          <cell r="AF761">
            <v>-2081030.05929</v>
          </cell>
        </row>
        <row r="762">
          <cell r="C762">
            <v>-43342.3</v>
          </cell>
          <cell r="D762">
            <v>-137884.55799999993</v>
          </cell>
          <cell r="E762">
            <v>-77035</v>
          </cell>
          <cell r="F762">
            <v>-33771.05627999999</v>
          </cell>
          <cell r="G762">
            <v>-105496</v>
          </cell>
          <cell r="H762">
            <v>-354186.61427999992</v>
          </cell>
          <cell r="J762">
            <v>-32839</v>
          </cell>
          <cell r="K762">
            <v>-13774</v>
          </cell>
          <cell r="L762">
            <v>-10375</v>
          </cell>
          <cell r="M762">
            <v>-16186</v>
          </cell>
          <cell r="N762">
            <v>-69493.48238999999</v>
          </cell>
          <cell r="O762">
            <v>-142667.48238999999</v>
          </cell>
          <cell r="Q762">
            <v>-56098.144230000013</v>
          </cell>
          <cell r="R762">
            <v>-28991.742660000004</v>
          </cell>
          <cell r="S762">
            <v>-30982</v>
          </cell>
          <cell r="T762">
            <v>-29272</v>
          </cell>
          <cell r="U762">
            <v>-5104.2999999999993</v>
          </cell>
          <cell r="V762">
            <v>-9837</v>
          </cell>
          <cell r="W762">
            <v>-160285.18689000001</v>
          </cell>
          <cell r="Y762">
            <v>-101266</v>
          </cell>
          <cell r="Z762">
            <v>-37138.577530000002</v>
          </cell>
          <cell r="AA762">
            <v>-7849</v>
          </cell>
          <cell r="AB762">
            <v>-47777.339070000002</v>
          </cell>
          <cell r="AC762">
            <v>-10177</v>
          </cell>
          <cell r="AD762">
            <v>-204207.9166</v>
          </cell>
          <cell r="AF762">
            <v>-861347.20015999989</v>
          </cell>
        </row>
        <row r="763">
          <cell r="C763">
            <v>-5917.5</v>
          </cell>
          <cell r="D763">
            <v>-23826.662999999997</v>
          </cell>
          <cell r="E763">
            <v>-24967</v>
          </cell>
          <cell r="F763">
            <v>-4518.3548499999997</v>
          </cell>
          <cell r="G763">
            <v>-14424</v>
          </cell>
          <cell r="H763">
            <v>-67736.017850000004</v>
          </cell>
          <cell r="J763">
            <v>-5828</v>
          </cell>
          <cell r="K763">
            <v>-2996</v>
          </cell>
          <cell r="L763">
            <v>-901</v>
          </cell>
          <cell r="M763">
            <v>-4365</v>
          </cell>
          <cell r="N763">
            <v>-16243.349859999995</v>
          </cell>
          <cell r="O763">
            <v>-30333.349859999995</v>
          </cell>
          <cell r="Q763">
            <v>-8359.0150499999982</v>
          </cell>
          <cell r="R763">
            <v>-6716.1644900000001</v>
          </cell>
          <cell r="S763">
            <v>-6896</v>
          </cell>
          <cell r="T763">
            <v>-2084</v>
          </cell>
          <cell r="U763">
            <v>-690.5</v>
          </cell>
          <cell r="V763">
            <v>-875</v>
          </cell>
          <cell r="W763">
            <v>-25620.679539999997</v>
          </cell>
          <cell r="Y763">
            <v>-17195</v>
          </cell>
          <cell r="Z763">
            <v>-5097.5307400000002</v>
          </cell>
          <cell r="AA763">
            <v>-2335</v>
          </cell>
          <cell r="AB763">
            <v>-10217.744699999997</v>
          </cell>
          <cell r="AC763">
            <v>-1116</v>
          </cell>
          <cell r="AD763">
            <v>-35961.275439999998</v>
          </cell>
          <cell r="AF763">
            <v>-159651.32269</v>
          </cell>
        </row>
        <row r="764">
          <cell r="C764">
            <v>-34563.199999999997</v>
          </cell>
          <cell r="D764">
            <v>-82721.671999999962</v>
          </cell>
          <cell r="E764">
            <v>-57286</v>
          </cell>
          <cell r="F764">
            <v>-26014.475890000002</v>
          </cell>
          <cell r="G764">
            <v>-58822</v>
          </cell>
          <cell r="H764">
            <v>-224844.14788999996</v>
          </cell>
          <cell r="J764">
            <v>-27170</v>
          </cell>
          <cell r="K764">
            <v>-14060</v>
          </cell>
          <cell r="L764">
            <v>-7508</v>
          </cell>
          <cell r="M764">
            <v>-17186</v>
          </cell>
          <cell r="N764">
            <v>-66687.316740000009</v>
          </cell>
          <cell r="O764">
            <v>-132611.31674000001</v>
          </cell>
          <cell r="Q764">
            <v>-50773.614349999996</v>
          </cell>
          <cell r="R764">
            <v>-24177.035419999997</v>
          </cell>
          <cell r="S764">
            <v>-19847</v>
          </cell>
          <cell r="T764">
            <v>-21335</v>
          </cell>
          <cell r="U764">
            <v>-4308.2</v>
          </cell>
          <cell r="V764">
            <v>-9060</v>
          </cell>
          <cell r="W764">
            <v>-129500.84976999999</v>
          </cell>
          <cell r="Y764">
            <v>-75519</v>
          </cell>
          <cell r="Z764">
            <v>-20762.183710000001</v>
          </cell>
          <cell r="AA764">
            <v>-7722</v>
          </cell>
          <cell r="AB764">
            <v>-38760.409449999999</v>
          </cell>
          <cell r="AC764">
            <v>-5965</v>
          </cell>
          <cell r="AD764">
            <v>-148728.59315999999</v>
          </cell>
          <cell r="AF764">
            <v>-635684.90755999996</v>
          </cell>
        </row>
        <row r="765">
          <cell r="A765" t="str">
            <v>Total Personnel</v>
          </cell>
          <cell r="C765">
            <v>-285564</v>
          </cell>
          <cell r="D765">
            <v>-825625.51999999979</v>
          </cell>
          <cell r="E765">
            <v>-539450</v>
          </cell>
          <cell r="F765">
            <v>-196698.48299000002</v>
          </cell>
          <cell r="G765">
            <v>-559707</v>
          </cell>
          <cell r="H765">
            <v>-2121481.0029899999</v>
          </cell>
          <cell r="J765">
            <v>-217150</v>
          </cell>
          <cell r="K765">
            <v>-101615</v>
          </cell>
          <cell r="L765">
            <v>-59653</v>
          </cell>
          <cell r="M765">
            <v>-113704</v>
          </cell>
          <cell r="N765">
            <v>-496013.06628999999</v>
          </cell>
          <cell r="O765">
            <v>-988135.06628999999</v>
          </cell>
          <cell r="Q765">
            <v>-407498.91238999995</v>
          </cell>
          <cell r="R765">
            <v>-178421.99124999999</v>
          </cell>
          <cell r="S765">
            <v>-164695</v>
          </cell>
          <cell r="T765">
            <v>-188706</v>
          </cell>
          <cell r="U765">
            <v>-36718</v>
          </cell>
          <cell r="V765">
            <v>-70771</v>
          </cell>
          <cell r="W765">
            <v>-1046810.9036399999</v>
          </cell>
          <cell r="Y765">
            <v>-637642</v>
          </cell>
          <cell r="Z765">
            <v>-158867.47652999996</v>
          </cell>
          <cell r="AA765">
            <v>-61867</v>
          </cell>
          <cell r="AB765">
            <v>-340088.36930999998</v>
          </cell>
          <cell r="AC765">
            <v>-56555</v>
          </cell>
          <cell r="AD765">
            <v>-1255019.8458400001</v>
          </cell>
          <cell r="AF765">
            <v>-5411446.8187600002</v>
          </cell>
        </row>
        <row r="767">
          <cell r="A767" t="str">
            <v xml:space="preserve">    Outsourced Services</v>
          </cell>
          <cell r="C767">
            <v>-45457.100000000006</v>
          </cell>
          <cell r="D767">
            <v>-93592.483999999997</v>
          </cell>
          <cell r="E767">
            <v>-68120</v>
          </cell>
          <cell r="F767">
            <v>-23255.599099999999</v>
          </cell>
          <cell r="G767">
            <v>-65644</v>
          </cell>
          <cell r="H767">
            <v>-250612.08309999999</v>
          </cell>
          <cell r="J767">
            <v>-29638</v>
          </cell>
          <cell r="K767">
            <v>-12076</v>
          </cell>
          <cell r="L767">
            <v>-7362</v>
          </cell>
          <cell r="M767">
            <v>-21301</v>
          </cell>
          <cell r="N767">
            <v>-51748.328020000001</v>
          </cell>
          <cell r="O767">
            <v>-122125.32802</v>
          </cell>
          <cell r="Q767">
            <v>-28034.7808</v>
          </cell>
          <cell r="R767">
            <v>-12818.087169999999</v>
          </cell>
          <cell r="S767">
            <v>-12545</v>
          </cell>
          <cell r="T767">
            <v>-22820</v>
          </cell>
          <cell r="U767">
            <v>-7628.1</v>
          </cell>
          <cell r="V767">
            <v>-13138</v>
          </cell>
          <cell r="W767">
            <v>-97793.967969999998</v>
          </cell>
          <cell r="Y767">
            <v>-19750</v>
          </cell>
          <cell r="Z767">
            <v>-13838.040059999999</v>
          </cell>
          <cell r="AA767">
            <v>-10592</v>
          </cell>
          <cell r="AB767">
            <v>-29935.342100000005</v>
          </cell>
          <cell r="AC767">
            <v>-6737</v>
          </cell>
          <cell r="AD767">
            <v>-80852.382160000008</v>
          </cell>
          <cell r="AF767">
            <v>-550573.76124999998</v>
          </cell>
        </row>
        <row r="768">
          <cell r="C768">
            <v>-331021.09999999998</v>
          </cell>
          <cell r="D768">
            <v>-919218.00399999972</v>
          </cell>
          <cell r="E768">
            <v>-607570</v>
          </cell>
          <cell r="F768">
            <v>-219954.08208999995</v>
          </cell>
          <cell r="G768">
            <v>-625351</v>
          </cell>
          <cell r="H768">
            <v>-2372093.0860899994</v>
          </cell>
          <cell r="J768">
            <v>-246788</v>
          </cell>
          <cell r="K768">
            <v>-113691</v>
          </cell>
          <cell r="L768">
            <v>-67015</v>
          </cell>
          <cell r="M768">
            <v>-135005</v>
          </cell>
          <cell r="N768">
            <v>-547761.39431</v>
          </cell>
          <cell r="O768">
            <v>-1110260.3943099999</v>
          </cell>
          <cell r="Q768">
            <v>-435533.69318999996</v>
          </cell>
          <cell r="R768">
            <v>-191240.07841999998</v>
          </cell>
          <cell r="S768">
            <v>-177240</v>
          </cell>
          <cell r="T768">
            <v>-211526</v>
          </cell>
          <cell r="U768">
            <v>-44346.1</v>
          </cell>
          <cell r="V768">
            <v>-83909</v>
          </cell>
          <cell r="W768">
            <v>-1143794.87161</v>
          </cell>
          <cell r="Y768">
            <v>-657392</v>
          </cell>
          <cell r="Z768">
            <v>-172705.51658999996</v>
          </cell>
          <cell r="AA768">
            <v>-72459</v>
          </cell>
          <cell r="AB768">
            <v>-370023.71140999999</v>
          </cell>
          <cell r="AC768">
            <v>-63292</v>
          </cell>
          <cell r="AD768">
            <v>-1335872.2279999999</v>
          </cell>
          <cell r="AF768">
            <v>-5962020.5800099997</v>
          </cell>
        </row>
        <row r="770">
          <cell r="C770">
            <v>-59361.7</v>
          </cell>
          <cell r="D770">
            <v>-238192.45</v>
          </cell>
          <cell r="E770">
            <v>-119230</v>
          </cell>
          <cell r="F770">
            <v>-43069.730239999997</v>
          </cell>
          <cell r="G770">
            <v>-105924</v>
          </cell>
          <cell r="H770">
            <v>-506416.18024000002</v>
          </cell>
          <cell r="J770">
            <v>-56394</v>
          </cell>
          <cell r="K770">
            <v>-25413</v>
          </cell>
          <cell r="L770">
            <v>-15034</v>
          </cell>
          <cell r="M770">
            <v>-25912</v>
          </cell>
          <cell r="N770">
            <v>-144245.89479000002</v>
          </cell>
          <cell r="O770">
            <v>-266998.89479000005</v>
          </cell>
          <cell r="Q770">
            <v>-122443.33276</v>
          </cell>
          <cell r="R770">
            <v>-45966.260599999994</v>
          </cell>
          <cell r="S770">
            <v>-29395</v>
          </cell>
          <cell r="T770">
            <v>-52424</v>
          </cell>
          <cell r="U770">
            <v>-9821.7000000000025</v>
          </cell>
          <cell r="V770">
            <v>-15285</v>
          </cell>
          <cell r="W770">
            <v>-275335.29336000001</v>
          </cell>
          <cell r="Y770">
            <v>-139967</v>
          </cell>
          <cell r="Z770">
            <v>-36191.836940000001</v>
          </cell>
          <cell r="AA770">
            <v>-11486</v>
          </cell>
          <cell r="AB770">
            <v>-82073.405109999992</v>
          </cell>
          <cell r="AC770">
            <v>-7735</v>
          </cell>
          <cell r="AD770">
            <v>-277453.24205</v>
          </cell>
          <cell r="AF770">
            <v>-1326203.61044</v>
          </cell>
        </row>
        <row r="772">
          <cell r="C772">
            <v>-74899.200000000012</v>
          </cell>
          <cell r="D772">
            <v>-178025.43800000002</v>
          </cell>
          <cell r="E772">
            <v>-108080</v>
          </cell>
          <cell r="F772">
            <v>-43597.21989</v>
          </cell>
          <cell r="G772">
            <v>-113895</v>
          </cell>
          <cell r="H772">
            <v>-443597.65789000003</v>
          </cell>
          <cell r="J772">
            <v>-56596</v>
          </cell>
          <cell r="K772">
            <v>-29310</v>
          </cell>
          <cell r="L772">
            <v>-14107</v>
          </cell>
          <cell r="M772">
            <v>-34815</v>
          </cell>
          <cell r="N772">
            <v>-132542.99245999995</v>
          </cell>
          <cell r="O772">
            <v>-267370.99245999998</v>
          </cell>
          <cell r="Q772">
            <v>-108074.71405</v>
          </cell>
          <cell r="R772">
            <v>-44305.425279999996</v>
          </cell>
          <cell r="S772">
            <v>-36923</v>
          </cell>
          <cell r="T772">
            <v>-85226</v>
          </cell>
          <cell r="U772">
            <v>-10591.2</v>
          </cell>
          <cell r="V772">
            <v>-19126</v>
          </cell>
          <cell r="W772">
            <v>-304246.33932999999</v>
          </cell>
          <cell r="Y772">
            <v>-185247.56</v>
          </cell>
          <cell r="Z772">
            <v>-43353.481090000008</v>
          </cell>
          <cell r="AA772">
            <v>-13947</v>
          </cell>
          <cell r="AB772">
            <v>-72671.817249999993</v>
          </cell>
          <cell r="AC772">
            <v>-17128</v>
          </cell>
          <cell r="AD772">
            <v>-332347.85834000004</v>
          </cell>
          <cell r="AF772">
            <v>-1347562.8480199999</v>
          </cell>
        </row>
        <row r="774">
          <cell r="C774">
            <v>0</v>
          </cell>
          <cell r="D774">
            <v>0</v>
          </cell>
          <cell r="E774">
            <v>0</v>
          </cell>
          <cell r="F774">
            <v>0</v>
          </cell>
          <cell r="G774">
            <v>0</v>
          </cell>
          <cell r="H774">
            <v>0</v>
          </cell>
          <cell r="J774">
            <v>0</v>
          </cell>
          <cell r="K774">
            <v>0</v>
          </cell>
          <cell r="L774">
            <v>0</v>
          </cell>
          <cell r="M774">
            <v>0</v>
          </cell>
          <cell r="N774">
            <v>0</v>
          </cell>
          <cell r="O774">
            <v>0</v>
          </cell>
          <cell r="Q774">
            <v>0</v>
          </cell>
          <cell r="R774">
            <v>0</v>
          </cell>
          <cell r="S774">
            <v>0</v>
          </cell>
          <cell r="T774">
            <v>0</v>
          </cell>
          <cell r="U774">
            <v>0</v>
          </cell>
          <cell r="V774">
            <v>0</v>
          </cell>
          <cell r="W774">
            <v>0</v>
          </cell>
          <cell r="Y774">
            <v>0</v>
          </cell>
          <cell r="Z774">
            <v>0</v>
          </cell>
          <cell r="AA774">
            <v>0</v>
          </cell>
          <cell r="AB774">
            <v>0</v>
          </cell>
          <cell r="AC774">
            <v>0</v>
          </cell>
          <cell r="AD774">
            <v>0</v>
          </cell>
          <cell r="AF774">
            <v>0</v>
          </cell>
        </row>
        <row r="776">
          <cell r="C776">
            <v>-2010</v>
          </cell>
          <cell r="D776">
            <v>-9420.711000000003</v>
          </cell>
          <cell r="E776">
            <v>0</v>
          </cell>
          <cell r="F776">
            <v>336.33693999999963</v>
          </cell>
          <cell r="G776">
            <v>0</v>
          </cell>
          <cell r="H776">
            <v>-9084.3740600000037</v>
          </cell>
          <cell r="J776">
            <v>-1356</v>
          </cell>
          <cell r="K776">
            <v>-1681</v>
          </cell>
          <cell r="L776">
            <v>0</v>
          </cell>
          <cell r="M776">
            <v>7</v>
          </cell>
          <cell r="N776">
            <v>2319.7264500000001</v>
          </cell>
          <cell r="O776">
            <v>-710.27354999999989</v>
          </cell>
          <cell r="Q776">
            <v>2188.4926500000001</v>
          </cell>
          <cell r="R776">
            <v>932.64300000000014</v>
          </cell>
          <cell r="S776">
            <v>617</v>
          </cell>
          <cell r="T776">
            <v>-6000</v>
          </cell>
          <cell r="U776">
            <v>0</v>
          </cell>
          <cell r="V776">
            <v>-881</v>
          </cell>
          <cell r="W776">
            <v>-3142.8643499999998</v>
          </cell>
          <cell r="Y776">
            <v>-7801</v>
          </cell>
          <cell r="Z776">
            <v>1629.6009999999999</v>
          </cell>
          <cell r="AA776">
            <v>753</v>
          </cell>
          <cell r="AB776">
            <v>0</v>
          </cell>
          <cell r="AC776">
            <v>-1882</v>
          </cell>
          <cell r="AD776">
            <v>-7300.3990000000003</v>
          </cell>
          <cell r="AF776">
            <v>-20237.910960000005</v>
          </cell>
        </row>
        <row r="777">
          <cell r="C777">
            <v>-136270.90000000002</v>
          </cell>
          <cell r="D777">
            <v>-425638.59900000005</v>
          </cell>
          <cell r="E777">
            <v>-227310</v>
          </cell>
          <cell r="F777">
            <v>-86330.613190000004</v>
          </cell>
          <cell r="G777">
            <v>-219819</v>
          </cell>
          <cell r="H777">
            <v>-959098.21219000011</v>
          </cell>
          <cell r="J777">
            <v>-114346</v>
          </cell>
          <cell r="K777">
            <v>-56404</v>
          </cell>
          <cell r="L777">
            <v>-29141</v>
          </cell>
          <cell r="M777">
            <v>-60720</v>
          </cell>
          <cell r="N777">
            <v>-274469.16079999995</v>
          </cell>
          <cell r="O777">
            <v>-535080.16079999995</v>
          </cell>
          <cell r="Q777">
            <v>-228329.55416</v>
          </cell>
          <cell r="R777">
            <v>-89339.042879999994</v>
          </cell>
          <cell r="S777">
            <v>-65701</v>
          </cell>
          <cell r="T777">
            <v>-143650</v>
          </cell>
          <cell r="U777">
            <v>-20412.900000000001</v>
          </cell>
          <cell r="V777">
            <v>-35292</v>
          </cell>
          <cell r="W777">
            <v>-582724.49704000005</v>
          </cell>
          <cell r="Y777">
            <v>-333015.56</v>
          </cell>
          <cell r="Z777">
            <v>-77915.717030000014</v>
          </cell>
          <cell r="AA777">
            <v>-24680</v>
          </cell>
          <cell r="AB777">
            <v>-154745.22235999999</v>
          </cell>
          <cell r="AC777">
            <v>-26745</v>
          </cell>
          <cell r="AD777">
            <v>-617101.49939000001</v>
          </cell>
          <cell r="AF777">
            <v>-2694004.3694200004</v>
          </cell>
        </row>
        <row r="779">
          <cell r="A779" t="str">
            <v>TOTAL EXPENDITURE</v>
          </cell>
          <cell r="C779">
            <v>-467292</v>
          </cell>
          <cell r="D779">
            <v>-1344856.6029999999</v>
          </cell>
          <cell r="E779">
            <v>-834880</v>
          </cell>
          <cell r="F779">
            <v>-306284.69527999987</v>
          </cell>
          <cell r="G779">
            <v>-845170</v>
          </cell>
          <cell r="H779">
            <v>-3331191.2982799998</v>
          </cell>
          <cell r="J779">
            <v>-361134</v>
          </cell>
          <cell r="K779">
            <v>-170095</v>
          </cell>
          <cell r="L779">
            <v>-96156</v>
          </cell>
          <cell r="M779">
            <v>-195725</v>
          </cell>
          <cell r="N779">
            <v>-822230.55510999996</v>
          </cell>
          <cell r="O779">
            <v>-1645340.5551100001</v>
          </cell>
          <cell r="Q779">
            <v>-663863.24735000008</v>
          </cell>
          <cell r="R779">
            <v>-280579.12129999994</v>
          </cell>
          <cell r="S779">
            <v>-242941</v>
          </cell>
          <cell r="T779">
            <v>-355176</v>
          </cell>
          <cell r="U779">
            <v>-64759.000000000007</v>
          </cell>
          <cell r="V779">
            <v>-119201</v>
          </cell>
          <cell r="W779">
            <v>-1726519.3686500001</v>
          </cell>
          <cell r="Y779">
            <v>-990407.56</v>
          </cell>
          <cell r="Z779">
            <v>-250621.23361999996</v>
          </cell>
          <cell r="AA779">
            <v>-97139</v>
          </cell>
          <cell r="AB779">
            <v>-524768.93376999989</v>
          </cell>
          <cell r="AC779">
            <v>-90037</v>
          </cell>
          <cell r="AD779">
            <v>-1952973.7273900001</v>
          </cell>
          <cell r="AF779">
            <v>-8656024.94943</v>
          </cell>
        </row>
        <row r="781">
          <cell r="C781">
            <v>-23949.299999999988</v>
          </cell>
          <cell r="D781">
            <v>-4379.1559999994279</v>
          </cell>
          <cell r="E781">
            <v>-6238</v>
          </cell>
          <cell r="F781">
            <v>-369.85035000016779</v>
          </cell>
          <cell r="G781">
            <v>-14114</v>
          </cell>
          <cell r="H781">
            <v>-25101.006349999596</v>
          </cell>
          <cell r="J781">
            <v>-3361</v>
          </cell>
          <cell r="K781">
            <v>-4150.001110000012</v>
          </cell>
          <cell r="L781">
            <v>-5096</v>
          </cell>
          <cell r="M781">
            <v>-14557</v>
          </cell>
          <cell r="N781">
            <v>-60034.626479999861</v>
          </cell>
          <cell r="O781">
            <v>-87198.627589999873</v>
          </cell>
          <cell r="Q781">
            <v>-29587.850539999945</v>
          </cell>
          <cell r="R781">
            <v>-4575.0036499999978</v>
          </cell>
          <cell r="S781">
            <v>-16916</v>
          </cell>
          <cell r="T781">
            <v>-5309</v>
          </cell>
          <cell r="U781">
            <v>-4796.300000000002</v>
          </cell>
          <cell r="V781">
            <v>-384</v>
          </cell>
          <cell r="W781">
            <v>-61568.154189999943</v>
          </cell>
          <cell r="Y781">
            <v>-20331.559999999998</v>
          </cell>
          <cell r="Z781">
            <v>-337.4316200000253</v>
          </cell>
          <cell r="AA781">
            <v>-6064</v>
          </cell>
          <cell r="AB781">
            <v>-24569.569230000099</v>
          </cell>
          <cell r="AC781">
            <v>-7609</v>
          </cell>
          <cell r="AD781">
            <v>-58911.560850000125</v>
          </cell>
          <cell r="AF781">
            <v>-232779.34897999954</v>
          </cell>
        </row>
        <row r="784">
          <cell r="C784">
            <v>-17420.899999999998</v>
          </cell>
          <cell r="D784">
            <v>-41372.796000000002</v>
          </cell>
          <cell r="E784">
            <v>-28435</v>
          </cell>
          <cell r="F784">
            <v>-11188.398189999998</v>
          </cell>
          <cell r="G784">
            <v>-23517</v>
          </cell>
          <cell r="H784">
            <v>-104513.19418999999</v>
          </cell>
          <cell r="J784">
            <v>-19826</v>
          </cell>
          <cell r="K784">
            <v>-10619</v>
          </cell>
          <cell r="L784">
            <v>-2931</v>
          </cell>
          <cell r="M784">
            <v>-16046</v>
          </cell>
          <cell r="N784">
            <v>-40964.521869999997</v>
          </cell>
          <cell r="O784">
            <v>-90386.521869999997</v>
          </cell>
          <cell r="Q784">
            <v>-37774.505020000004</v>
          </cell>
          <cell r="R784">
            <v>-14062.367440000002</v>
          </cell>
          <cell r="S784">
            <v>-12331</v>
          </cell>
          <cell r="T784">
            <v>-14592</v>
          </cell>
          <cell r="U784">
            <v>-1648.9000000000003</v>
          </cell>
          <cell r="V784">
            <v>-4722</v>
          </cell>
          <cell r="W784">
            <v>-85130.772460000007</v>
          </cell>
          <cell r="Y784">
            <v>-61167</v>
          </cell>
          <cell r="Z784">
            <v>-11164.29226</v>
          </cell>
          <cell r="AA784">
            <v>-3881</v>
          </cell>
          <cell r="AB784">
            <v>-20767.850350000001</v>
          </cell>
          <cell r="AC784">
            <v>-4238</v>
          </cell>
          <cell r="AD784">
            <v>-101218.14261000001</v>
          </cell>
          <cell r="AF784">
            <v>-381248.63112999999</v>
          </cell>
        </row>
        <row r="785">
          <cell r="C785">
            <v>-167.9</v>
          </cell>
          <cell r="D785">
            <v>-4164.41</v>
          </cell>
          <cell r="E785">
            <v>0</v>
          </cell>
          <cell r="F785">
            <v>-65.599999999999994</v>
          </cell>
          <cell r="G785">
            <v>0</v>
          </cell>
          <cell r="H785">
            <v>-4230.01</v>
          </cell>
          <cell r="J785">
            <v>0</v>
          </cell>
          <cell r="K785">
            <v>-369</v>
          </cell>
          <cell r="L785">
            <v>-132</v>
          </cell>
          <cell r="M785">
            <v>0</v>
          </cell>
          <cell r="N785">
            <v>-109.63245999999999</v>
          </cell>
          <cell r="O785">
            <v>-610.63246000000004</v>
          </cell>
          <cell r="Q785">
            <v>-2.4748900000000003</v>
          </cell>
          <cell r="R785">
            <v>0</v>
          </cell>
          <cell r="S785">
            <v>-100</v>
          </cell>
          <cell r="T785">
            <v>0</v>
          </cell>
          <cell r="U785">
            <v>-35.9</v>
          </cell>
          <cell r="V785">
            <v>0</v>
          </cell>
          <cell r="W785">
            <v>-138.37488999999999</v>
          </cell>
          <cell r="Y785">
            <v>0</v>
          </cell>
          <cell r="Z785">
            <v>0</v>
          </cell>
          <cell r="AA785">
            <v>0</v>
          </cell>
          <cell r="AB785">
            <v>0.60029999999999994</v>
          </cell>
          <cell r="AC785">
            <v>0</v>
          </cell>
          <cell r="AD785">
            <v>0.60029999999999994</v>
          </cell>
          <cell r="AF785">
            <v>-4978.41705</v>
          </cell>
        </row>
        <row r="786">
          <cell r="C786">
            <v>-4823.1849999999995</v>
          </cell>
          <cell r="D786">
            <v>-11784.977000000001</v>
          </cell>
          <cell r="E786">
            <v>-12506</v>
          </cell>
          <cell r="F786">
            <v>-1004.4955900000001</v>
          </cell>
          <cell r="G786">
            <v>-12492</v>
          </cell>
          <cell r="H786">
            <v>-37787.472589999998</v>
          </cell>
          <cell r="J786">
            <v>-7024</v>
          </cell>
          <cell r="K786">
            <v>-1919</v>
          </cell>
          <cell r="L786">
            <v>-699.78499999999985</v>
          </cell>
          <cell r="M786">
            <v>-3065</v>
          </cell>
          <cell r="N786">
            <v>-9443.4420800000007</v>
          </cell>
          <cell r="O786">
            <v>-22151.227080000001</v>
          </cell>
          <cell r="Q786">
            <v>-16146.550719999999</v>
          </cell>
          <cell r="R786">
            <v>-2280.5477900000001</v>
          </cell>
          <cell r="S786">
            <v>-3870</v>
          </cell>
          <cell r="T786">
            <v>-2881</v>
          </cell>
          <cell r="U786">
            <v>-1151.4000000000001</v>
          </cell>
          <cell r="V786">
            <v>-1924</v>
          </cell>
          <cell r="W786">
            <v>-28253.4977</v>
          </cell>
          <cell r="Y786">
            <v>-5886</v>
          </cell>
          <cell r="Z786">
            <v>-2941.9097500000003</v>
          </cell>
          <cell r="AA786">
            <v>-316</v>
          </cell>
          <cell r="AB786">
            <v>-4545.0103600000002</v>
          </cell>
          <cell r="AC786">
            <v>-732</v>
          </cell>
          <cell r="AD786">
            <v>-14420.920110000001</v>
          </cell>
          <cell r="AF786">
            <v>-102613.11748000002</v>
          </cell>
        </row>
        <row r="787">
          <cell r="C787">
            <v>-6267.3600000000006</v>
          </cell>
          <cell r="D787">
            <v>-40478.162000000004</v>
          </cell>
          <cell r="E787">
            <v>-15274</v>
          </cell>
          <cell r="F787">
            <v>-8898.8990000000013</v>
          </cell>
          <cell r="G787">
            <v>-18618</v>
          </cell>
          <cell r="H787">
            <v>-83269.061000000002</v>
          </cell>
          <cell r="J787">
            <v>-5971</v>
          </cell>
          <cell r="K787">
            <v>-3798</v>
          </cell>
          <cell r="L787">
            <v>-2619.36</v>
          </cell>
          <cell r="M787">
            <v>-6230</v>
          </cell>
          <cell r="N787">
            <v>-17749.366000000002</v>
          </cell>
          <cell r="O787">
            <v>-36367.726000000002</v>
          </cell>
          <cell r="Q787">
            <v>-8381.7570000000014</v>
          </cell>
          <cell r="R787">
            <v>-3740.3230000000003</v>
          </cell>
          <cell r="S787">
            <v>-7291</v>
          </cell>
          <cell r="T787">
            <v>-10070</v>
          </cell>
          <cell r="U787">
            <v>-629</v>
          </cell>
          <cell r="V787">
            <v>-1491</v>
          </cell>
          <cell r="W787">
            <v>-31603.08</v>
          </cell>
          <cell r="Y787">
            <v>-12845</v>
          </cell>
          <cell r="Z787">
            <v>-7251.6919999999973</v>
          </cell>
          <cell r="AA787">
            <v>-756</v>
          </cell>
          <cell r="AB787">
            <v>-9804.3889999999992</v>
          </cell>
          <cell r="AC787">
            <v>-772</v>
          </cell>
          <cell r="AD787">
            <v>-31429.080999999995</v>
          </cell>
          <cell r="AF787">
            <v>-182668.94800000003</v>
          </cell>
        </row>
        <row r="838">
          <cell r="C838" t="str">
            <v>Small</v>
          </cell>
          <cell r="D838" t="str">
            <v>Auckland DHB</v>
          </cell>
          <cell r="E838" t="str">
            <v>Counties Manukau DHB</v>
          </cell>
          <cell r="F838" t="str">
            <v>Northland DHB</v>
          </cell>
          <cell r="G838" t="str">
            <v>Waitemata DHB</v>
          </cell>
          <cell r="H838" t="str">
            <v xml:space="preserve">   Total</v>
          </cell>
          <cell r="J838" t="str">
            <v>Bay of Plenty DHB</v>
          </cell>
          <cell r="K838" t="str">
            <v>Lakes DHB</v>
          </cell>
          <cell r="L838" t="str">
            <v>Tairawhiti DHB</v>
          </cell>
          <cell r="M838" t="str">
            <v>Taranaki DHB</v>
          </cell>
          <cell r="N838" t="str">
            <v>Waikato DHB</v>
          </cell>
          <cell r="O838" t="str">
            <v xml:space="preserve">   Total</v>
          </cell>
          <cell r="Q838" t="str">
            <v>Capital &amp; Coast DHB</v>
          </cell>
          <cell r="R838" t="str">
            <v>Hawke's Bay DHB</v>
          </cell>
          <cell r="S838" t="str">
            <v>Hutt Valley DHB</v>
          </cell>
          <cell r="T838" t="str">
            <v>MidCentral DHB</v>
          </cell>
          <cell r="U838" t="str">
            <v>Wairarapa DHB</v>
          </cell>
          <cell r="V838" t="str">
            <v>Whanganui DHB</v>
          </cell>
          <cell r="W838" t="str">
            <v xml:space="preserve">   Total</v>
          </cell>
          <cell r="Y838" t="str">
            <v>Canterbury DHB</v>
          </cell>
          <cell r="Z838" t="str">
            <v>Nelson Marlborough DHB</v>
          </cell>
          <cell r="AA838" t="str">
            <v>South Canterbury DHB</v>
          </cell>
          <cell r="AB838" t="str">
            <v>Southern DHB</v>
          </cell>
          <cell r="AC838" t="str">
            <v>West Coast DHB</v>
          </cell>
          <cell r="AD838" t="str">
            <v xml:space="preserve">   Total</v>
          </cell>
          <cell r="AF838" t="str">
            <v>All DHBs</v>
          </cell>
        </row>
        <row r="839">
          <cell r="C839">
            <v>453707.66663000005</v>
          </cell>
          <cell r="D839">
            <v>1380793.6559999997</v>
          </cell>
          <cell r="E839">
            <v>847784</v>
          </cell>
          <cell r="F839">
            <v>314263.59678000002</v>
          </cell>
          <cell r="G839">
            <v>842906.05500000005</v>
          </cell>
          <cell r="H839">
            <v>3385747.3077799999</v>
          </cell>
          <cell r="J839">
            <v>372157.33229999995</v>
          </cell>
          <cell r="K839">
            <v>169771</v>
          </cell>
          <cell r="L839">
            <v>91622.966010000004</v>
          </cell>
          <cell r="M839">
            <v>185171</v>
          </cell>
          <cell r="N839">
            <v>793450.60076999932</v>
          </cell>
          <cell r="O839">
            <v>1612172.8990799992</v>
          </cell>
          <cell r="Q839">
            <v>660622.82283000019</v>
          </cell>
          <cell r="R839">
            <v>284959.54228999995</v>
          </cell>
          <cell r="S839">
            <v>230688</v>
          </cell>
          <cell r="T839">
            <v>352114</v>
          </cell>
          <cell r="U839">
            <v>63430.700620000011</v>
          </cell>
          <cell r="V839">
            <v>123404</v>
          </cell>
          <cell r="W839">
            <v>1715219.0657400002</v>
          </cell>
          <cell r="Y839">
            <v>990456</v>
          </cell>
          <cell r="Z839">
            <v>264862.17619000009</v>
          </cell>
          <cell r="AA839">
            <v>92394</v>
          </cell>
          <cell r="AB839">
            <v>526027.7365700003</v>
          </cell>
          <cell r="AC839">
            <v>82856</v>
          </cell>
          <cell r="AD839">
            <v>1956595.9127600002</v>
          </cell>
          <cell r="AF839">
            <v>8669735.1853599995</v>
          </cell>
        </row>
        <row r="841">
          <cell r="C841">
            <v>-79018.402589999998</v>
          </cell>
          <cell r="D841">
            <v>-323079.24099999992</v>
          </cell>
          <cell r="E841">
            <v>-179409</v>
          </cell>
          <cell r="F841">
            <v>-58174.850619999997</v>
          </cell>
          <cell r="G841">
            <v>-167801</v>
          </cell>
          <cell r="H841">
            <v>-728464.09161999996</v>
          </cell>
          <cell r="J841">
            <v>-67320.505959999995</v>
          </cell>
          <cell r="K841">
            <v>-33144</v>
          </cell>
          <cell r="L841">
            <v>-20621.788</v>
          </cell>
          <cell r="M841">
            <v>-33568</v>
          </cell>
          <cell r="N841">
            <v>-158171.41699</v>
          </cell>
          <cell r="O841">
            <v>-312825.71094999998</v>
          </cell>
          <cell r="Q841">
            <v>-141921.32899999997</v>
          </cell>
          <cell r="R841">
            <v>-53204.593639999999</v>
          </cell>
          <cell r="S841">
            <v>-50009</v>
          </cell>
          <cell r="T841">
            <v>-62398</v>
          </cell>
          <cell r="U841">
            <v>-10743.614590000003</v>
          </cell>
          <cell r="V841">
            <v>-21000</v>
          </cell>
          <cell r="W841">
            <v>-339276.53723000002</v>
          </cell>
          <cell r="Y841">
            <v>-189775.00000000003</v>
          </cell>
          <cell r="Z841">
            <v>-46209.642450000007</v>
          </cell>
          <cell r="AA841">
            <v>-15776</v>
          </cell>
          <cell r="AB841">
            <v>-118458.66721999997</v>
          </cell>
          <cell r="AC841">
            <v>-10877</v>
          </cell>
          <cell r="AD841">
            <v>-381096.30966999999</v>
          </cell>
          <cell r="AF841">
            <v>-1761662.6494700001</v>
          </cell>
        </row>
        <row r="842">
          <cell r="C842">
            <v>-127016.10375000002</v>
          </cell>
          <cell r="D842">
            <v>-294078.77999999997</v>
          </cell>
          <cell r="E842">
            <v>-207943</v>
          </cell>
          <cell r="F842">
            <v>-81448.220689999958</v>
          </cell>
          <cell r="G842">
            <v>-220004</v>
          </cell>
          <cell r="H842">
            <v>-803474.0006899999</v>
          </cell>
          <cell r="J842">
            <v>-91913.835599999991</v>
          </cell>
          <cell r="K842">
            <v>-40895</v>
          </cell>
          <cell r="L842">
            <v>-23823.535000000003</v>
          </cell>
          <cell r="M842">
            <v>-47602</v>
          </cell>
          <cell r="N842">
            <v>-198292.38451999996</v>
          </cell>
          <cell r="O842">
            <v>-402526.75511999999</v>
          </cell>
          <cell r="Q842">
            <v>-172740.05809999997</v>
          </cell>
          <cell r="R842">
            <v>-70620.24175000003</v>
          </cell>
          <cell r="S842">
            <v>-60380</v>
          </cell>
          <cell r="T842">
            <v>-78409</v>
          </cell>
          <cell r="U842">
            <v>-18381.568749999995</v>
          </cell>
          <cell r="V842">
            <v>-31754</v>
          </cell>
          <cell r="W842">
            <v>-432284.86859999999</v>
          </cell>
          <cell r="Y842">
            <v>-272837</v>
          </cell>
          <cell r="Z842">
            <v>-55281.616410000002</v>
          </cell>
          <cell r="AA842">
            <v>-25816</v>
          </cell>
          <cell r="AB842">
            <v>-133971.94236000002</v>
          </cell>
          <cell r="AC842">
            <v>-27241</v>
          </cell>
          <cell r="AD842">
            <v>-515147.55877</v>
          </cell>
          <cell r="AF842">
            <v>-2153433.1831799997</v>
          </cell>
        </row>
        <row r="843">
          <cell r="C843">
            <v>-44217.547830000018</v>
          </cell>
          <cell r="D843">
            <v>-140647.10200000001</v>
          </cell>
          <cell r="E843">
            <v>-78287</v>
          </cell>
          <cell r="F843">
            <v>-35710.63188999999</v>
          </cell>
          <cell r="G843">
            <v>-107688</v>
          </cell>
          <cell r="H843">
            <v>-362332.73389000003</v>
          </cell>
          <cell r="J843">
            <v>-34320.161940000005</v>
          </cell>
          <cell r="K843">
            <v>-14732</v>
          </cell>
          <cell r="L843">
            <v>-10508.99</v>
          </cell>
          <cell r="M843">
            <v>-18121</v>
          </cell>
          <cell r="N843">
            <v>-72650.548479999998</v>
          </cell>
          <cell r="O843">
            <v>-150332.70042000001</v>
          </cell>
          <cell r="Q843">
            <v>-54009.104640000005</v>
          </cell>
          <cell r="R843">
            <v>-30306.514210000005</v>
          </cell>
          <cell r="S843">
            <v>-28561</v>
          </cell>
          <cell r="T843">
            <v>-29578</v>
          </cell>
          <cell r="U843">
            <v>-5231.5578300000016</v>
          </cell>
          <cell r="V843">
            <v>-10118</v>
          </cell>
          <cell r="W843">
            <v>-157804.17668000003</v>
          </cell>
          <cell r="Y843">
            <v>-107113</v>
          </cell>
          <cell r="Z843">
            <v>-37200.071609999999</v>
          </cell>
          <cell r="AA843">
            <v>-7680</v>
          </cell>
          <cell r="AB843">
            <v>-49314.759640000011</v>
          </cell>
          <cell r="AC843">
            <v>-10679</v>
          </cell>
          <cell r="AD843">
            <v>-211986.83124999999</v>
          </cell>
          <cell r="AF843">
            <v>-882456.44224</v>
          </cell>
        </row>
        <row r="844">
          <cell r="C844">
            <v>-5981.6997299999994</v>
          </cell>
          <cell r="D844">
            <v>-17681.392</v>
          </cell>
          <cell r="E844">
            <v>-26412</v>
          </cell>
          <cell r="F844">
            <v>-4778.9973899999986</v>
          </cell>
          <cell r="G844">
            <v>-15700</v>
          </cell>
          <cell r="H844">
            <v>-64572.389389999997</v>
          </cell>
          <cell r="J844">
            <v>-5636.5853299999999</v>
          </cell>
          <cell r="K844">
            <v>-3202</v>
          </cell>
          <cell r="L844">
            <v>-974.202</v>
          </cell>
          <cell r="M844">
            <v>-4538</v>
          </cell>
          <cell r="N844">
            <v>-16194.28047</v>
          </cell>
          <cell r="O844">
            <v>-30545.067799999997</v>
          </cell>
          <cell r="Q844">
            <v>-8034.8416799999995</v>
          </cell>
          <cell r="R844">
            <v>-6871.8922999999995</v>
          </cell>
          <cell r="S844">
            <v>-6724</v>
          </cell>
          <cell r="T844">
            <v>-1996</v>
          </cell>
          <cell r="U844">
            <v>-820.49772999999982</v>
          </cell>
          <cell r="V844">
            <v>-833</v>
          </cell>
          <cell r="W844">
            <v>-25280.231709999996</v>
          </cell>
          <cell r="Y844">
            <v>-19380</v>
          </cell>
          <cell r="Z844">
            <v>-5206.3375099999994</v>
          </cell>
          <cell r="AA844">
            <v>-2347</v>
          </cell>
          <cell r="AB844">
            <v>-6660.0119199999972</v>
          </cell>
          <cell r="AC844">
            <v>-1007</v>
          </cell>
          <cell r="AD844">
            <v>-34600.349429999995</v>
          </cell>
          <cell r="AF844">
            <v>-154998.03832999998</v>
          </cell>
        </row>
        <row r="845">
          <cell r="C845">
            <v>-35968.748330000002</v>
          </cell>
          <cell r="D845">
            <v>-88461.970000000045</v>
          </cell>
          <cell r="E845">
            <v>-61952</v>
          </cell>
          <cell r="F845">
            <v>-26676.346300000012</v>
          </cell>
          <cell r="G845">
            <v>-61471</v>
          </cell>
          <cell r="H845">
            <v>-238561.31630000003</v>
          </cell>
          <cell r="J845">
            <v>-27961.849940000011</v>
          </cell>
          <cell r="K845">
            <v>-14618</v>
          </cell>
          <cell r="L845">
            <v>-7565.5739999999996</v>
          </cell>
          <cell r="M845">
            <v>-18075</v>
          </cell>
          <cell r="N845">
            <v>-68799.671309999976</v>
          </cell>
          <cell r="O845">
            <v>-137020.09524999998</v>
          </cell>
          <cell r="Q845">
            <v>-51625.219910000007</v>
          </cell>
          <cell r="R845">
            <v>-25572.001140000004</v>
          </cell>
          <cell r="S845">
            <v>-20032</v>
          </cell>
          <cell r="T845">
            <v>-21086</v>
          </cell>
          <cell r="U845">
            <v>-4834.1743299999989</v>
          </cell>
          <cell r="V845">
            <v>-9413</v>
          </cell>
          <cell r="W845">
            <v>-132562.39538</v>
          </cell>
          <cell r="Y845">
            <v>-78910</v>
          </cell>
          <cell r="Z845">
            <v>-22803.683029999997</v>
          </cell>
          <cell r="AA845">
            <v>-8219</v>
          </cell>
          <cell r="AB845">
            <v>-41098.725160000002</v>
          </cell>
          <cell r="AC845">
            <v>-5937</v>
          </cell>
          <cell r="AD845">
            <v>-156968.40818999999</v>
          </cell>
          <cell r="AF845">
            <v>-665112.21512000007</v>
          </cell>
        </row>
        <row r="846">
          <cell r="A846" t="str">
            <v>Total Personnel</v>
          </cell>
          <cell r="C846">
            <v>-292202.50222999993</v>
          </cell>
          <cell r="D846">
            <v>-863948.48499999987</v>
          </cell>
          <cell r="E846">
            <v>-554003</v>
          </cell>
          <cell r="F846">
            <v>-206789.04689</v>
          </cell>
          <cell r="G846">
            <v>-572664</v>
          </cell>
          <cell r="H846">
            <v>-2197404.5318899998</v>
          </cell>
          <cell r="J846">
            <v>-227152.93876999995</v>
          </cell>
          <cell r="K846">
            <v>-106591</v>
          </cell>
          <cell r="L846">
            <v>-63494.089</v>
          </cell>
          <cell r="M846">
            <v>-121904</v>
          </cell>
          <cell r="N846">
            <v>-514108.30177000008</v>
          </cell>
          <cell r="O846">
            <v>-1033250.3295400001</v>
          </cell>
          <cell r="Q846">
            <v>-428330.55333000002</v>
          </cell>
          <cell r="R846">
            <v>-186575.24304000015</v>
          </cell>
          <cell r="S846">
            <v>-165706</v>
          </cell>
          <cell r="T846">
            <v>-193467</v>
          </cell>
          <cell r="U846">
            <v>-40011.413229999984</v>
          </cell>
          <cell r="V846">
            <v>-73118</v>
          </cell>
          <cell r="W846">
            <v>-1087208.2096000002</v>
          </cell>
          <cell r="Y846">
            <v>-668015</v>
          </cell>
          <cell r="Z846">
            <v>-166701.35100999995</v>
          </cell>
          <cell r="AA846">
            <v>-59838</v>
          </cell>
          <cell r="AB846">
            <v>-349504.10629999998</v>
          </cell>
          <cell r="AC846">
            <v>-55741</v>
          </cell>
          <cell r="AD846">
            <v>-1299799.45731</v>
          </cell>
          <cell r="AF846">
            <v>-5617662.5283400007</v>
          </cell>
        </row>
        <row r="848">
          <cell r="A848" t="str">
            <v xml:space="preserve">    Outsourced Services</v>
          </cell>
          <cell r="C848">
            <v>-44723.094939999995</v>
          </cell>
          <cell r="D848">
            <v>-97713.678</v>
          </cell>
          <cell r="E848">
            <v>-71645</v>
          </cell>
          <cell r="F848">
            <v>-24330.991019999994</v>
          </cell>
          <cell r="G848">
            <v>-63947</v>
          </cell>
          <cell r="H848">
            <v>-257636.66902</v>
          </cell>
          <cell r="J848">
            <v>-31428.972359999996</v>
          </cell>
          <cell r="K848">
            <v>-10477</v>
          </cell>
          <cell r="L848">
            <v>-5940.7380000000003</v>
          </cell>
          <cell r="M848">
            <v>-18184</v>
          </cell>
          <cell r="N848">
            <v>-61500.429259999997</v>
          </cell>
          <cell r="O848">
            <v>-127531.13962</v>
          </cell>
          <cell r="Q848">
            <v>-35986.041249999995</v>
          </cell>
          <cell r="R848">
            <v>-14651.527760000004</v>
          </cell>
          <cell r="S848">
            <v>-17292</v>
          </cell>
          <cell r="T848">
            <v>-25403</v>
          </cell>
          <cell r="U848">
            <v>-7114.3569400000015</v>
          </cell>
          <cell r="V848">
            <v>-13449</v>
          </cell>
          <cell r="W848">
            <v>-113895.92595</v>
          </cell>
          <cell r="Y848">
            <v>-24800</v>
          </cell>
          <cell r="Z848">
            <v>-13689.851709999999</v>
          </cell>
          <cell r="AA848">
            <v>-11335</v>
          </cell>
          <cell r="AB848">
            <v>-32575.055359999984</v>
          </cell>
          <cell r="AC848">
            <v>-6884</v>
          </cell>
          <cell r="AD848">
            <v>-89283.907069999987</v>
          </cell>
          <cell r="AF848">
            <v>-588347.64165999996</v>
          </cell>
        </row>
        <row r="849">
          <cell r="C849">
            <v>-336925.59716999991</v>
          </cell>
          <cell r="D849">
            <v>-961662.16299999983</v>
          </cell>
          <cell r="E849">
            <v>-625648</v>
          </cell>
          <cell r="F849">
            <v>-231120.03790999998</v>
          </cell>
          <cell r="G849">
            <v>-636611</v>
          </cell>
          <cell r="H849">
            <v>-2455041.2009099997</v>
          </cell>
          <cell r="J849">
            <v>-258581.91112999993</v>
          </cell>
          <cell r="K849">
            <v>-117068</v>
          </cell>
          <cell r="L849">
            <v>-69434.827000000005</v>
          </cell>
          <cell r="M849">
            <v>-140088</v>
          </cell>
          <cell r="N849">
            <v>-575608.73103000002</v>
          </cell>
          <cell r="O849">
            <v>-1160781.4691599999</v>
          </cell>
          <cell r="Q849">
            <v>-464316.59458000003</v>
          </cell>
          <cell r="R849">
            <v>-201226.77080000014</v>
          </cell>
          <cell r="S849">
            <v>-182998</v>
          </cell>
          <cell r="T849">
            <v>-218870</v>
          </cell>
          <cell r="U849">
            <v>-47125.770169999989</v>
          </cell>
          <cell r="V849">
            <v>-86567</v>
          </cell>
          <cell r="W849">
            <v>-1201104.1355500002</v>
          </cell>
          <cell r="Y849">
            <v>-692815</v>
          </cell>
          <cell r="Z849">
            <v>-180391.20271999994</v>
          </cell>
          <cell r="AA849">
            <v>-71173</v>
          </cell>
          <cell r="AB849">
            <v>-382079.16165999998</v>
          </cell>
          <cell r="AC849">
            <v>-62625</v>
          </cell>
          <cell r="AD849">
            <v>-1389083.3643799999</v>
          </cell>
          <cell r="AF849">
            <v>-6206010.1699999999</v>
          </cell>
        </row>
        <row r="851">
          <cell r="C851">
            <v>-60495.548940000022</v>
          </cell>
          <cell r="D851">
            <v>-244642.85400000005</v>
          </cell>
          <cell r="E851">
            <v>-122934</v>
          </cell>
          <cell r="F851">
            <v>-46429.998980000004</v>
          </cell>
          <cell r="G851">
            <v>-110618</v>
          </cell>
          <cell r="H851">
            <v>-524624.85298000008</v>
          </cell>
          <cell r="J851">
            <v>-56782.946989999997</v>
          </cell>
          <cell r="K851">
            <v>-25602</v>
          </cell>
          <cell r="L851">
            <v>-15252.806</v>
          </cell>
          <cell r="M851">
            <v>-28447</v>
          </cell>
          <cell r="N851">
            <v>-140710.49411999999</v>
          </cell>
          <cell r="O851">
            <v>-266795.24711</v>
          </cell>
          <cell r="Q851">
            <v>-116777.06531000008</v>
          </cell>
          <cell r="R851">
            <v>-44439.733130000015</v>
          </cell>
          <cell r="S851">
            <v>-27330</v>
          </cell>
          <cell r="T851">
            <v>-52287</v>
          </cell>
          <cell r="U851">
            <v>-10599.742939999996</v>
          </cell>
          <cell r="V851">
            <v>-14800</v>
          </cell>
          <cell r="W851">
            <v>-266233.54138000007</v>
          </cell>
          <cell r="Y851">
            <v>-133512</v>
          </cell>
          <cell r="Z851">
            <v>-38490.316149999999</v>
          </cell>
          <cell r="AA851">
            <v>-12063</v>
          </cell>
          <cell r="AB851">
            <v>-85921.46510999999</v>
          </cell>
          <cell r="AC851">
            <v>-7780</v>
          </cell>
          <cell r="AD851">
            <v>-277766.78125999996</v>
          </cell>
          <cell r="AF851">
            <v>-1335420.4227300002</v>
          </cell>
        </row>
        <row r="853">
          <cell r="C853">
            <v>-73548.017869999967</v>
          </cell>
          <cell r="D853">
            <v>-189345.11000000004</v>
          </cell>
          <cell r="E853">
            <v>-111166</v>
          </cell>
          <cell r="F853">
            <v>-45616.734060000003</v>
          </cell>
          <cell r="G853">
            <v>-109812</v>
          </cell>
          <cell r="H853">
            <v>-455939.84406000003</v>
          </cell>
          <cell r="J853">
            <v>-62130.908940000023</v>
          </cell>
          <cell r="K853">
            <v>-29836</v>
          </cell>
          <cell r="L853">
            <v>-13195.892</v>
          </cell>
          <cell r="M853">
            <v>-35531</v>
          </cell>
          <cell r="N853">
            <v>-123771.41516999999</v>
          </cell>
          <cell r="O853">
            <v>-264465.21611000004</v>
          </cell>
          <cell r="Q853">
            <v>-107258.89077000003</v>
          </cell>
          <cell r="R853">
            <v>-45425.360850000005</v>
          </cell>
          <cell r="S853">
            <v>-38951</v>
          </cell>
          <cell r="T853">
            <v>-78163</v>
          </cell>
          <cell r="U853">
            <v>-11222.125870000002</v>
          </cell>
          <cell r="V853">
            <v>-18928</v>
          </cell>
          <cell r="W853">
            <v>-299948.37748999998</v>
          </cell>
          <cell r="Y853">
            <v>-177504</v>
          </cell>
          <cell r="Z853">
            <v>-43732.217800000006</v>
          </cell>
          <cell r="AA853">
            <v>-13666</v>
          </cell>
          <cell r="AB853">
            <v>-76298.745250000036</v>
          </cell>
          <cell r="AC853">
            <v>-16536</v>
          </cell>
          <cell r="AD853">
            <v>-327736.96305000002</v>
          </cell>
          <cell r="AF853">
            <v>-1348090.4007100002</v>
          </cell>
        </row>
        <row r="855">
          <cell r="C855">
            <v>0</v>
          </cell>
          <cell r="D855">
            <v>0</v>
          </cell>
          <cell r="E855">
            <v>0</v>
          </cell>
          <cell r="F855">
            <v>0</v>
          </cell>
          <cell r="G855">
            <v>0</v>
          </cell>
          <cell r="H855">
            <v>0</v>
          </cell>
          <cell r="J855">
            <v>0</v>
          </cell>
          <cell r="K855">
            <v>0</v>
          </cell>
          <cell r="L855">
            <v>0</v>
          </cell>
          <cell r="M855">
            <v>0</v>
          </cell>
          <cell r="N855">
            <v>0</v>
          </cell>
          <cell r="O855">
            <v>0</v>
          </cell>
          <cell r="Q855">
            <v>0</v>
          </cell>
          <cell r="R855">
            <v>0</v>
          </cell>
          <cell r="S855">
            <v>0</v>
          </cell>
          <cell r="T855">
            <v>0</v>
          </cell>
          <cell r="U855">
            <v>0</v>
          </cell>
          <cell r="V855">
            <v>0</v>
          </cell>
          <cell r="W855">
            <v>0</v>
          </cell>
          <cell r="Y855">
            <v>0</v>
          </cell>
          <cell r="Z855">
            <v>0</v>
          </cell>
          <cell r="AA855">
            <v>0</v>
          </cell>
          <cell r="AB855">
            <v>0</v>
          </cell>
          <cell r="AC855">
            <v>0</v>
          </cell>
          <cell r="AD855">
            <v>0</v>
          </cell>
          <cell r="AF855">
            <v>0</v>
          </cell>
        </row>
        <row r="857">
          <cell r="C857">
            <v>-1836.4812500000005</v>
          </cell>
          <cell r="D857">
            <v>-5626.9239999999991</v>
          </cell>
          <cell r="E857">
            <v>0</v>
          </cell>
          <cell r="F857">
            <v>7.6395300000028588</v>
          </cell>
          <cell r="G857">
            <v>0</v>
          </cell>
          <cell r="H857">
            <v>-5619.284469999996</v>
          </cell>
          <cell r="J857">
            <v>-1322.0796599999999</v>
          </cell>
          <cell r="K857">
            <v>-1600</v>
          </cell>
          <cell r="L857">
            <v>0</v>
          </cell>
          <cell r="M857">
            <v>5</v>
          </cell>
          <cell r="N857">
            <v>2322.3784000000001</v>
          </cell>
          <cell r="O857">
            <v>-594.70125999999982</v>
          </cell>
          <cell r="Q857">
            <v>2189.3859100000004</v>
          </cell>
          <cell r="R857">
            <v>933.15600000000029</v>
          </cell>
          <cell r="S857">
            <v>459</v>
          </cell>
          <cell r="T857">
            <v>-6000</v>
          </cell>
          <cell r="U857">
            <v>21.518749999999841</v>
          </cell>
          <cell r="V857">
            <v>-923</v>
          </cell>
          <cell r="W857">
            <v>-3319.9393399999994</v>
          </cell>
          <cell r="Y857">
            <v>-8347</v>
          </cell>
          <cell r="Z857">
            <v>1629.248</v>
          </cell>
          <cell r="AA857">
            <v>761</v>
          </cell>
          <cell r="AB857">
            <v>0</v>
          </cell>
          <cell r="AC857">
            <v>-1696</v>
          </cell>
          <cell r="AD857">
            <v>-7652.7520000000004</v>
          </cell>
          <cell r="AF857">
            <v>-17186.677069999998</v>
          </cell>
        </row>
        <row r="858">
          <cell r="C858">
            <v>-135880.04806</v>
          </cell>
          <cell r="D858">
            <v>-439614.88800000009</v>
          </cell>
          <cell r="E858">
            <v>-234100</v>
          </cell>
          <cell r="F858">
            <v>-92039.093510000006</v>
          </cell>
          <cell r="G858">
            <v>-220430</v>
          </cell>
          <cell r="H858">
            <v>-986183.98151000007</v>
          </cell>
          <cell r="J858">
            <v>-120235.93559000002</v>
          </cell>
          <cell r="K858">
            <v>-57038</v>
          </cell>
          <cell r="L858">
            <v>-28448.778999999999</v>
          </cell>
          <cell r="M858">
            <v>-63973</v>
          </cell>
          <cell r="N858">
            <v>-262159.53088999999</v>
          </cell>
          <cell r="O858">
            <v>-531855.16448000004</v>
          </cell>
          <cell r="Q858">
            <v>-221846.57017000008</v>
          </cell>
          <cell r="R858">
            <v>-88931.937980000017</v>
          </cell>
          <cell r="S858">
            <v>-65822</v>
          </cell>
          <cell r="T858">
            <v>-136450</v>
          </cell>
          <cell r="U858">
            <v>-21800.350060000001</v>
          </cell>
          <cell r="V858">
            <v>-34651</v>
          </cell>
          <cell r="W858">
            <v>-569501.85821000009</v>
          </cell>
          <cell r="Y858">
            <v>-319363</v>
          </cell>
          <cell r="Z858">
            <v>-80593.285950000005</v>
          </cell>
          <cell r="AA858">
            <v>-24968</v>
          </cell>
          <cell r="AB858">
            <v>-162220.21036000003</v>
          </cell>
          <cell r="AC858">
            <v>-26012</v>
          </cell>
          <cell r="AD858">
            <v>-613156.49631000008</v>
          </cell>
          <cell r="AF858">
            <v>-2700697.5005100006</v>
          </cell>
        </row>
        <row r="860">
          <cell r="A860" t="str">
            <v>TOTAL EXPENDITURE</v>
          </cell>
          <cell r="C860">
            <v>-472805.64523000014</v>
          </cell>
          <cell r="D860">
            <v>-1401277.0509999997</v>
          </cell>
          <cell r="E860">
            <v>-859748</v>
          </cell>
          <cell r="F860">
            <v>-323159.13142000017</v>
          </cell>
          <cell r="G860">
            <v>-857041</v>
          </cell>
          <cell r="H860">
            <v>-3441225.18242</v>
          </cell>
          <cell r="J860">
            <v>-378817.84672000009</v>
          </cell>
          <cell r="K860">
            <v>-174106</v>
          </cell>
          <cell r="L860">
            <v>-97883.525000000009</v>
          </cell>
          <cell r="M860">
            <v>-204061</v>
          </cell>
          <cell r="N860">
            <v>-837768.26191999984</v>
          </cell>
          <cell r="O860">
            <v>-1692636.6336399999</v>
          </cell>
          <cell r="Q860">
            <v>-686163.16475000023</v>
          </cell>
          <cell r="R860">
            <v>-290158.70877999975</v>
          </cell>
          <cell r="S860">
            <v>-248820</v>
          </cell>
          <cell r="T860">
            <v>-355320</v>
          </cell>
          <cell r="U860">
            <v>-68926.120229999971</v>
          </cell>
          <cell r="V860">
            <v>-121218</v>
          </cell>
          <cell r="W860">
            <v>-1770605.99376</v>
          </cell>
          <cell r="Y860">
            <v>-1012178</v>
          </cell>
          <cell r="Z860">
            <v>-260984.48867000008</v>
          </cell>
          <cell r="AA860">
            <v>-96141</v>
          </cell>
          <cell r="AB860">
            <v>-544299.37202000024</v>
          </cell>
          <cell r="AC860">
            <v>-88637</v>
          </cell>
          <cell r="AD860">
            <v>-2002239.8606900005</v>
          </cell>
          <cell r="AF860">
            <v>-8906707.6705100015</v>
          </cell>
        </row>
        <row r="862">
          <cell r="C862">
            <v>-19097.978599999999</v>
          </cell>
          <cell r="D862">
            <v>-20483.395000000277</v>
          </cell>
          <cell r="E862">
            <v>-11964</v>
          </cell>
          <cell r="F862">
            <v>-8895.5346399999107</v>
          </cell>
          <cell r="G862">
            <v>-14134.945</v>
          </cell>
          <cell r="H862">
            <v>-55477.874640000191</v>
          </cell>
          <cell r="J862">
            <v>-6660.5144199999377</v>
          </cell>
          <cell r="K862">
            <v>-4335</v>
          </cell>
          <cell r="L862">
            <v>-6260.5589900000041</v>
          </cell>
          <cell r="M862">
            <v>-18890</v>
          </cell>
          <cell r="N862">
            <v>-44317.661150000065</v>
          </cell>
          <cell r="O862">
            <v>-80463.734560000012</v>
          </cell>
          <cell r="Q862">
            <v>-25540.341919999937</v>
          </cell>
          <cell r="R862">
            <v>-5199.166490000056</v>
          </cell>
          <cell r="S862">
            <v>-18132</v>
          </cell>
          <cell r="T862">
            <v>-3206</v>
          </cell>
          <cell r="U862">
            <v>-5495.4196099999872</v>
          </cell>
          <cell r="V862">
            <v>2186</v>
          </cell>
          <cell r="W862">
            <v>-55386.928019999985</v>
          </cell>
          <cell r="Y862">
            <v>-21722.000000000007</v>
          </cell>
          <cell r="Z862">
            <v>3877.6875200000277</v>
          </cell>
          <cell r="AA862">
            <v>-3747</v>
          </cell>
          <cell r="AB862">
            <v>-18271.635450000049</v>
          </cell>
          <cell r="AC862">
            <v>-5780.9999999999955</v>
          </cell>
          <cell r="AD862">
            <v>-45643.947930000017</v>
          </cell>
          <cell r="AF862">
            <v>-236972.48515000023</v>
          </cell>
        </row>
        <row r="865">
          <cell r="C865">
            <v>-17901.44024475</v>
          </cell>
          <cell r="D865">
            <v>-45494.093000000015</v>
          </cell>
          <cell r="E865">
            <v>-30637</v>
          </cell>
          <cell r="F865">
            <v>-12696.453619999997</v>
          </cell>
          <cell r="G865">
            <v>-27172</v>
          </cell>
          <cell r="H865">
            <v>-115999.54662000002</v>
          </cell>
          <cell r="J865">
            <v>-19272.575059999996</v>
          </cell>
          <cell r="K865">
            <v>-10269</v>
          </cell>
          <cell r="L865">
            <v>-2930.3559999999998</v>
          </cell>
          <cell r="M865">
            <v>-15521</v>
          </cell>
          <cell r="N865">
            <v>-38560.209069999997</v>
          </cell>
          <cell r="O865">
            <v>-86553.140129999985</v>
          </cell>
          <cell r="Q865">
            <v>-33137.504579999993</v>
          </cell>
          <cell r="R865">
            <v>-13695.15811</v>
          </cell>
          <cell r="S865">
            <v>-13155</v>
          </cell>
          <cell r="T865">
            <v>-14036</v>
          </cell>
          <cell r="U865">
            <v>-1684.0842447499995</v>
          </cell>
          <cell r="V865">
            <v>-4525</v>
          </cell>
          <cell r="W865">
            <v>-80232.746934750001</v>
          </cell>
          <cell r="Y865">
            <v>-57692</v>
          </cell>
          <cell r="Z865">
            <v>-10744.786200000002</v>
          </cell>
          <cell r="AA865">
            <v>-4190</v>
          </cell>
          <cell r="AB865">
            <v>-20986.289200000007</v>
          </cell>
          <cell r="AC865">
            <v>-4572</v>
          </cell>
          <cell r="AD865">
            <v>-98185.075400000002</v>
          </cell>
          <cell r="AF865">
            <v>-380970.50908474997</v>
          </cell>
        </row>
        <row r="866">
          <cell r="C866">
            <v>-112.636</v>
          </cell>
          <cell r="D866">
            <v>-1484.2000000000007</v>
          </cell>
          <cell r="E866">
            <v>0</v>
          </cell>
          <cell r="F866">
            <v>-126.51899999999999</v>
          </cell>
          <cell r="G866">
            <v>0</v>
          </cell>
          <cell r="H866">
            <v>-1610.7190000000007</v>
          </cell>
          <cell r="J866">
            <v>0</v>
          </cell>
          <cell r="K866">
            <v>-181</v>
          </cell>
          <cell r="L866">
            <v>-109.636</v>
          </cell>
          <cell r="M866">
            <v>-16</v>
          </cell>
          <cell r="N866">
            <v>379.21075999999999</v>
          </cell>
          <cell r="O866">
            <v>72.574760000000026</v>
          </cell>
          <cell r="Q866">
            <v>-18.63401</v>
          </cell>
          <cell r="R866">
            <v>0</v>
          </cell>
          <cell r="S866">
            <v>-72</v>
          </cell>
          <cell r="T866">
            <v>0</v>
          </cell>
          <cell r="U866">
            <v>-3</v>
          </cell>
          <cell r="V866">
            <v>0</v>
          </cell>
          <cell r="W866">
            <v>-93.634010000000004</v>
          </cell>
          <cell r="Y866">
            <v>0</v>
          </cell>
          <cell r="Z866">
            <v>0</v>
          </cell>
          <cell r="AA866">
            <v>0</v>
          </cell>
          <cell r="AB866">
            <v>0</v>
          </cell>
          <cell r="AC866">
            <v>0</v>
          </cell>
          <cell r="AD866">
            <v>0</v>
          </cell>
          <cell r="AF866">
            <v>-1631.7782500000008</v>
          </cell>
        </row>
        <row r="867">
          <cell r="C867">
            <v>-4251.9379399999998</v>
          </cell>
          <cell r="D867">
            <v>-11468.045999999998</v>
          </cell>
          <cell r="E867">
            <v>-12470</v>
          </cell>
          <cell r="F867">
            <v>-836.7959800000001</v>
          </cell>
          <cell r="G867">
            <v>-10712</v>
          </cell>
          <cell r="H867">
            <v>-35486.841979999997</v>
          </cell>
          <cell r="J867">
            <v>-6306.4</v>
          </cell>
          <cell r="K867">
            <v>-2181</v>
          </cell>
          <cell r="L867">
            <v>-604.13100000000009</v>
          </cell>
          <cell r="M867">
            <v>-2644</v>
          </cell>
          <cell r="N867">
            <v>-9193.1152700000002</v>
          </cell>
          <cell r="O867">
            <v>-20928.646269999997</v>
          </cell>
          <cell r="Q867">
            <v>-14140.980599999999</v>
          </cell>
          <cell r="R867">
            <v>-2018.4823199999996</v>
          </cell>
          <cell r="S867">
            <v>-3754</v>
          </cell>
          <cell r="T867">
            <v>-2562</v>
          </cell>
          <cell r="U867">
            <v>-1026.8069399999999</v>
          </cell>
          <cell r="V867">
            <v>-1548</v>
          </cell>
          <cell r="W867">
            <v>-25050.277959999999</v>
          </cell>
          <cell r="Y867">
            <v>-5575</v>
          </cell>
          <cell r="Z867">
            <v>-2732.7195200000001</v>
          </cell>
          <cell r="AA867">
            <v>-422</v>
          </cell>
          <cell r="AB867">
            <v>-4290.2194300000001</v>
          </cell>
          <cell r="AC867">
            <v>-651</v>
          </cell>
          <cell r="AD867">
            <v>-13670.93895</v>
          </cell>
          <cell r="AF867">
            <v>-95136.697059999991</v>
          </cell>
        </row>
        <row r="868">
          <cell r="C868">
            <v>-6337.8640000000005</v>
          </cell>
          <cell r="D868">
            <v>-42905.472999999998</v>
          </cell>
          <cell r="E868">
            <v>-18510</v>
          </cell>
          <cell r="F868">
            <v>-9848.1740100000025</v>
          </cell>
          <cell r="G868">
            <v>-24501</v>
          </cell>
          <cell r="H868">
            <v>-95764.647010000001</v>
          </cell>
          <cell r="J868">
            <v>-8578.678820000001</v>
          </cell>
          <cell r="K868">
            <v>-4051</v>
          </cell>
          <cell r="L868">
            <v>-2457.8010000000004</v>
          </cell>
          <cell r="M868">
            <v>-5822</v>
          </cell>
          <cell r="N868">
            <v>-18123.643</v>
          </cell>
          <cell r="O868">
            <v>-39033.122820000004</v>
          </cell>
          <cell r="Q868">
            <v>-8085.6423500000001</v>
          </cell>
          <cell r="R868">
            <v>-6783.1880000000001</v>
          </cell>
          <cell r="S868">
            <v>-7623</v>
          </cell>
          <cell r="T868">
            <v>-9978</v>
          </cell>
          <cell r="U868">
            <v>-342.06299999999999</v>
          </cell>
          <cell r="V868">
            <v>-1804</v>
          </cell>
          <cell r="W868">
            <v>-34615.893349999998</v>
          </cell>
          <cell r="Y868">
            <v>-5726</v>
          </cell>
          <cell r="Z868">
            <v>-7800.7430000000013</v>
          </cell>
          <cell r="AA868">
            <v>-756</v>
          </cell>
          <cell r="AB868">
            <v>-8469.6239999999998</v>
          </cell>
          <cell r="AC868">
            <v>-978</v>
          </cell>
          <cell r="AD868">
            <v>-23730.367000000002</v>
          </cell>
          <cell r="AF868">
            <v>-193144.03018</v>
          </cell>
        </row>
        <row r="919">
          <cell r="C919" t="str">
            <v>Small</v>
          </cell>
          <cell r="D919" t="str">
            <v>Auckland DHB</v>
          </cell>
          <cell r="E919" t="str">
            <v>Counties Manukau DHB</v>
          </cell>
          <cell r="F919" t="str">
            <v>Northland DHB</v>
          </cell>
          <cell r="G919" t="str">
            <v>Waitemata DHB</v>
          </cell>
          <cell r="H919" t="str">
            <v xml:space="preserve">   Total</v>
          </cell>
          <cell r="J919" t="str">
            <v>Bay of Plenty DHB</v>
          </cell>
          <cell r="K919" t="str">
            <v>Lakes DHB</v>
          </cell>
          <cell r="L919" t="str">
            <v>Tairawhiti DHB</v>
          </cell>
          <cell r="M919" t="str">
            <v>Taranaki DHB</v>
          </cell>
          <cell r="N919" t="str">
            <v>Waikato DHB</v>
          </cell>
          <cell r="O919" t="str">
            <v xml:space="preserve">   Total</v>
          </cell>
          <cell r="Q919" t="str">
            <v>Capital &amp; Coast DHB</v>
          </cell>
          <cell r="R919" t="str">
            <v>Hawke's Bay DHB</v>
          </cell>
          <cell r="S919" t="str">
            <v>Hutt Valley DHB</v>
          </cell>
          <cell r="T919" t="str">
            <v>MidCentral DHB</v>
          </cell>
          <cell r="U919" t="str">
            <v>Wairarapa DHB</v>
          </cell>
          <cell r="V919" t="str">
            <v>Whanganui DHB</v>
          </cell>
          <cell r="W919" t="str">
            <v xml:space="preserve">   Total</v>
          </cell>
          <cell r="Y919" t="str">
            <v>Canterbury DHB</v>
          </cell>
          <cell r="Z919" t="str">
            <v>Nelson Marlborough DHB</v>
          </cell>
          <cell r="AA919" t="str">
            <v>South Canterbury DHB</v>
          </cell>
          <cell r="AB919" t="str">
            <v>Southern DHB</v>
          </cell>
          <cell r="AC919" t="str">
            <v>West Coast DHB</v>
          </cell>
          <cell r="AD919" t="str">
            <v xml:space="preserve">   Total</v>
          </cell>
          <cell r="AF919" t="str">
            <v>All DHBs</v>
          </cell>
        </row>
        <row r="920">
          <cell r="C920">
            <v>457459.56518000015</v>
          </cell>
          <cell r="D920">
            <v>1430735.3460000004</v>
          </cell>
          <cell r="E920">
            <v>880741</v>
          </cell>
          <cell r="F920">
            <v>331442.24364000018</v>
          </cell>
          <cell r="G920">
            <v>865865</v>
          </cell>
          <cell r="H920">
            <v>3508783.5896400004</v>
          </cell>
          <cell r="J920">
            <v>384223.33188000001</v>
          </cell>
          <cell r="K920">
            <v>173665</v>
          </cell>
          <cell r="L920">
            <v>93768</v>
          </cell>
          <cell r="M920">
            <v>193047</v>
          </cell>
          <cell r="N920">
            <v>852523.46169999987</v>
          </cell>
          <cell r="O920">
            <v>1697226.7935799998</v>
          </cell>
          <cell r="Q920">
            <v>670023.23200999969</v>
          </cell>
          <cell r="R920">
            <v>298759.14606</v>
          </cell>
          <cell r="S920">
            <v>239497</v>
          </cell>
          <cell r="T920">
            <v>357684</v>
          </cell>
          <cell r="U920">
            <v>67578.596559999991</v>
          </cell>
          <cell r="V920">
            <v>121767</v>
          </cell>
          <cell r="W920">
            <v>1755308.9746299996</v>
          </cell>
          <cell r="Y920">
            <v>1022530</v>
          </cell>
          <cell r="Z920">
            <v>262584.71225000004</v>
          </cell>
          <cell r="AA920">
            <v>91688</v>
          </cell>
          <cell r="AB920">
            <v>531813.2572300001</v>
          </cell>
          <cell r="AC920">
            <v>82657.96862</v>
          </cell>
          <cell r="AD920">
            <v>1991273.9381000001</v>
          </cell>
          <cell r="AF920">
            <v>8952593.2959500011</v>
          </cell>
        </row>
        <row r="922">
          <cell r="A922" t="str">
            <v>Medical Personnel</v>
          </cell>
          <cell r="C922">
            <v>-78871.570469999991</v>
          </cell>
          <cell r="D922">
            <v>-348842.81599999999</v>
          </cell>
          <cell r="E922">
            <v>-187425</v>
          </cell>
          <cell r="F922">
            <v>-61554.172429999999</v>
          </cell>
          <cell r="G922">
            <v>-170429</v>
          </cell>
          <cell r="H922">
            <v>-768250.98843000003</v>
          </cell>
          <cell r="J922">
            <v>-70986.08606999999</v>
          </cell>
          <cell r="K922">
            <v>-33768</v>
          </cell>
          <cell r="L922">
            <v>-20371</v>
          </cell>
          <cell r="M922">
            <v>-36012</v>
          </cell>
          <cell r="N922">
            <v>-161792.10784000001</v>
          </cell>
          <cell r="O922">
            <v>-322929.19391000003</v>
          </cell>
          <cell r="Q922">
            <v>-148154.62922</v>
          </cell>
          <cell r="R922">
            <v>-53787.899280000005</v>
          </cell>
          <cell r="S922">
            <v>-50916</v>
          </cell>
          <cell r="T922">
            <v>-64319</v>
          </cell>
          <cell r="U922">
            <v>-10370.488949999997</v>
          </cell>
          <cell r="V922">
            <v>-21064</v>
          </cell>
          <cell r="W922">
            <v>-348612.01744999998</v>
          </cell>
          <cell r="Y922">
            <v>-201469</v>
          </cell>
          <cell r="Z922">
            <v>-48557.479889999995</v>
          </cell>
          <cell r="AA922">
            <v>-16281</v>
          </cell>
          <cell r="AB922">
            <v>-122538.42255999998</v>
          </cell>
          <cell r="AC922">
            <v>-10785.08152</v>
          </cell>
          <cell r="AD922">
            <v>-399630.98396999994</v>
          </cell>
          <cell r="AF922">
            <v>-1839423.1837599999</v>
          </cell>
        </row>
        <row r="923">
          <cell r="A923" t="str">
            <v>Nursing Personnel</v>
          </cell>
          <cell r="C923">
            <v>-131444.38725999999</v>
          </cell>
          <cell r="D923">
            <v>-304560.86299999995</v>
          </cell>
          <cell r="E923">
            <v>-221040</v>
          </cell>
          <cell r="F923">
            <v>-83514.607440000007</v>
          </cell>
          <cell r="G923">
            <v>-232271</v>
          </cell>
          <cell r="H923">
            <v>-841386.47043999995</v>
          </cell>
          <cell r="J923">
            <v>-94230.058550000016</v>
          </cell>
          <cell r="K923">
            <v>-42949</v>
          </cell>
          <cell r="L923">
            <v>-24378</v>
          </cell>
          <cell r="M923">
            <v>-49705</v>
          </cell>
          <cell r="N923">
            <v>-207583.43875</v>
          </cell>
          <cell r="O923">
            <v>-418845.49730000005</v>
          </cell>
          <cell r="Q923">
            <v>-181534.84174999999</v>
          </cell>
          <cell r="R923">
            <v>-74763.520069999999</v>
          </cell>
          <cell r="S923">
            <v>-61427</v>
          </cell>
          <cell r="T923">
            <v>-80991</v>
          </cell>
          <cell r="U923">
            <v>-19433.624070000002</v>
          </cell>
          <cell r="V923">
            <v>-33855</v>
          </cell>
          <cell r="W923">
            <v>-452004.98589000001</v>
          </cell>
          <cell r="Y923">
            <v>-280902</v>
          </cell>
          <cell r="Z923">
            <v>-56768.224710000002</v>
          </cell>
          <cell r="AA923">
            <v>-26188</v>
          </cell>
          <cell r="AB923">
            <v>-137329.14904000002</v>
          </cell>
          <cell r="AC923">
            <v>-27589.763190000001</v>
          </cell>
          <cell r="AD923">
            <v>-528777.13694</v>
          </cell>
          <cell r="AF923">
            <v>-2241014.09057</v>
          </cell>
        </row>
        <row r="924">
          <cell r="C924">
            <v>-44321.64484999999</v>
          </cell>
          <cell r="D924">
            <v>-145614.82399999996</v>
          </cell>
          <cell r="E924">
            <v>-78994</v>
          </cell>
          <cell r="F924">
            <v>-36966.767350000002</v>
          </cell>
          <cell r="G924">
            <v>-109317</v>
          </cell>
          <cell r="H924">
            <v>-370892.59135</v>
          </cell>
          <cell r="J924">
            <v>-35381.072949999994</v>
          </cell>
          <cell r="K924">
            <v>-14956</v>
          </cell>
          <cell r="L924">
            <v>-11078</v>
          </cell>
          <cell r="M924">
            <v>-20421</v>
          </cell>
          <cell r="N924">
            <v>-75155.026880000005</v>
          </cell>
          <cell r="O924">
            <v>-156991.09983000002</v>
          </cell>
          <cell r="Q924">
            <v>-54325.585959999997</v>
          </cell>
          <cell r="R924">
            <v>-31690.018679999994</v>
          </cell>
          <cell r="S924">
            <v>-27526</v>
          </cell>
          <cell r="T924">
            <v>-29531</v>
          </cell>
          <cell r="U924">
            <v>-5179.4340400000001</v>
          </cell>
          <cell r="V924">
            <v>-10720</v>
          </cell>
          <cell r="W924">
            <v>-158972.03867999997</v>
          </cell>
          <cell r="Y924">
            <v>-110303</v>
          </cell>
          <cell r="Z924">
            <v>-37758.224850000006</v>
          </cell>
          <cell r="AA924">
            <v>-6569</v>
          </cell>
          <cell r="AB924">
            <v>-50376.404830000007</v>
          </cell>
          <cell r="AC924">
            <v>-10775.21081</v>
          </cell>
          <cell r="AD924">
            <v>-215781.84049</v>
          </cell>
          <cell r="AF924">
            <v>-902637.57035000005</v>
          </cell>
        </row>
        <row r="925">
          <cell r="C925">
            <v>-6138.8683700000001</v>
          </cell>
          <cell r="D925">
            <v>-19195.335000000003</v>
          </cell>
          <cell r="E925">
            <v>-26979</v>
          </cell>
          <cell r="F925">
            <v>-4893.872910000001</v>
          </cell>
          <cell r="G925">
            <v>-18036</v>
          </cell>
          <cell r="H925">
            <v>-69104.207909999997</v>
          </cell>
          <cell r="J925">
            <v>-5073.4634399999995</v>
          </cell>
          <cell r="K925">
            <v>-3217</v>
          </cell>
          <cell r="L925">
            <v>-970</v>
          </cell>
          <cell r="M925">
            <v>-4707</v>
          </cell>
          <cell r="N925">
            <v>-16560.040689999998</v>
          </cell>
          <cell r="O925">
            <v>-30527.504129999998</v>
          </cell>
          <cell r="Q925">
            <v>-7436.2101399999992</v>
          </cell>
          <cell r="R925">
            <v>-7203.3506200000002</v>
          </cell>
          <cell r="S925">
            <v>-6853</v>
          </cell>
          <cell r="T925">
            <v>-2073</v>
          </cell>
          <cell r="U925">
            <v>-844.56457999999998</v>
          </cell>
          <cell r="V925">
            <v>-866</v>
          </cell>
          <cell r="W925">
            <v>-25276.125339999999</v>
          </cell>
          <cell r="Y925">
            <v>-21046</v>
          </cell>
          <cell r="Z925">
            <v>-5345.4986100000006</v>
          </cell>
          <cell r="AA925">
            <v>-2413</v>
          </cell>
          <cell r="AB925">
            <v>-5833.3596000000007</v>
          </cell>
          <cell r="AC925">
            <v>-1045.3037899999999</v>
          </cell>
          <cell r="AD925">
            <v>-35683.162000000004</v>
          </cell>
          <cell r="AF925">
            <v>-160590.99937999999</v>
          </cell>
        </row>
        <row r="926">
          <cell r="C926">
            <v>-35952.647750000004</v>
          </cell>
          <cell r="D926">
            <v>-91669.42</v>
          </cell>
          <cell r="E926">
            <v>-66130</v>
          </cell>
          <cell r="F926">
            <v>-28562.520509999991</v>
          </cell>
          <cell r="G926">
            <v>-63789</v>
          </cell>
          <cell r="H926">
            <v>-250150.94050999999</v>
          </cell>
          <cell r="J926">
            <v>-29587.892619999999</v>
          </cell>
          <cell r="K926">
            <v>-14904</v>
          </cell>
          <cell r="L926">
            <v>-7703</v>
          </cell>
          <cell r="M926">
            <v>-19040</v>
          </cell>
          <cell r="N926">
            <v>-74031.719650000014</v>
          </cell>
          <cell r="O926">
            <v>-145266.61227000001</v>
          </cell>
          <cell r="Q926">
            <v>-55447.737329999989</v>
          </cell>
          <cell r="R926">
            <v>-27557.270430000004</v>
          </cell>
          <cell r="S926">
            <v>-21596</v>
          </cell>
          <cell r="T926">
            <v>-21018</v>
          </cell>
          <cell r="U926">
            <v>-4445.1890400000002</v>
          </cell>
          <cell r="V926">
            <v>-9698</v>
          </cell>
          <cell r="W926">
            <v>-139762.19679999998</v>
          </cell>
          <cell r="Y926">
            <v>-82198</v>
          </cell>
          <cell r="Z926">
            <v>-22095.216969999998</v>
          </cell>
          <cell r="AA926">
            <v>-7813</v>
          </cell>
          <cell r="AB926">
            <v>-41338.378510000002</v>
          </cell>
          <cell r="AC926">
            <v>-6293.4587100000017</v>
          </cell>
          <cell r="AD926">
            <v>-159738.05419</v>
          </cell>
          <cell r="AF926">
            <v>-694917.80377000012</v>
          </cell>
        </row>
        <row r="927">
          <cell r="A927" t="str">
            <v>Total Personnel</v>
          </cell>
          <cell r="C927">
            <v>-296729.11869999999</v>
          </cell>
          <cell r="D927">
            <v>-909883.25799999991</v>
          </cell>
          <cell r="E927">
            <v>-580568</v>
          </cell>
          <cell r="F927">
            <v>-215491.94063999993</v>
          </cell>
          <cell r="G927">
            <v>-593842</v>
          </cell>
          <cell r="H927">
            <v>-2299785.1986400001</v>
          </cell>
          <cell r="J927">
            <v>-235258.57362999997</v>
          </cell>
          <cell r="K927">
            <v>-109794</v>
          </cell>
          <cell r="L927">
            <v>-64500</v>
          </cell>
          <cell r="M927">
            <v>-129885</v>
          </cell>
          <cell r="N927">
            <v>-535122.33381000021</v>
          </cell>
          <cell r="O927">
            <v>-1074559.9074400002</v>
          </cell>
          <cell r="Q927">
            <v>-446899.00439999998</v>
          </cell>
          <cell r="R927">
            <v>-195002.05907999998</v>
          </cell>
          <cell r="S927">
            <v>-168318</v>
          </cell>
          <cell r="T927">
            <v>-197932</v>
          </cell>
          <cell r="U927">
            <v>-40273.30068</v>
          </cell>
          <cell r="V927">
            <v>-76203</v>
          </cell>
          <cell r="W927">
            <v>-1124627.3641599999</v>
          </cell>
          <cell r="Y927">
            <v>-695918</v>
          </cell>
          <cell r="Z927">
            <v>-170524.64502999993</v>
          </cell>
          <cell r="AA927">
            <v>-59264</v>
          </cell>
          <cell r="AB927">
            <v>-357415.71454000007</v>
          </cell>
          <cell r="AC927">
            <v>-56488.818019999992</v>
          </cell>
          <cell r="AD927">
            <v>-1339611.1775899997</v>
          </cell>
          <cell r="AF927">
            <v>-5838583.6478300001</v>
          </cell>
        </row>
        <row r="929">
          <cell r="A929" t="str">
            <v xml:space="preserve">    Outsourced Services</v>
          </cell>
          <cell r="C929">
            <v>-47892.506930000003</v>
          </cell>
          <cell r="D929">
            <v>-102671.53099999999</v>
          </cell>
          <cell r="E929">
            <v>-83346</v>
          </cell>
          <cell r="F929">
            <v>-27020.755300000001</v>
          </cell>
          <cell r="G929">
            <v>-68894</v>
          </cell>
          <cell r="H929">
            <v>-281932.28629999998</v>
          </cell>
          <cell r="J929">
            <v>-31642.069279999996</v>
          </cell>
          <cell r="K929">
            <v>-12795</v>
          </cell>
          <cell r="L929">
            <v>-7071</v>
          </cell>
          <cell r="M929">
            <v>-16509</v>
          </cell>
          <cell r="N929">
            <v>-78034.01694999999</v>
          </cell>
          <cell r="O929">
            <v>-146051.08622999999</v>
          </cell>
          <cell r="Q929">
            <v>-31060.155119999999</v>
          </cell>
          <cell r="R929">
            <v>-17820.136429999999</v>
          </cell>
          <cell r="S929">
            <v>-14281</v>
          </cell>
          <cell r="T929">
            <v>-25697</v>
          </cell>
          <cell r="U929">
            <v>-8004.979409999999</v>
          </cell>
          <cell r="V929">
            <v>-13118</v>
          </cell>
          <cell r="W929">
            <v>-109981.27095999999</v>
          </cell>
          <cell r="Y929">
            <v>-24987</v>
          </cell>
          <cell r="Z929">
            <v>-13709.425839999998</v>
          </cell>
          <cell r="AA929">
            <v>-11712</v>
          </cell>
          <cell r="AB929">
            <v>-38954.552410000004</v>
          </cell>
          <cell r="AC929">
            <v>-7986.5275200000005</v>
          </cell>
          <cell r="AD929">
            <v>-97349.505770000003</v>
          </cell>
          <cell r="AF929">
            <v>-635314.14925999998</v>
          </cell>
        </row>
        <row r="930">
          <cell r="C930">
            <v>-344621.62563000002</v>
          </cell>
          <cell r="D930">
            <v>-1012554.7889999999</v>
          </cell>
          <cell r="E930">
            <v>-663914</v>
          </cell>
          <cell r="F930">
            <v>-242512.69593999992</v>
          </cell>
          <cell r="G930">
            <v>-662736</v>
          </cell>
          <cell r="H930">
            <v>-2581717.4849399999</v>
          </cell>
          <cell r="J930">
            <v>-266900.64290999994</v>
          </cell>
          <cell r="K930">
            <v>-122589</v>
          </cell>
          <cell r="L930">
            <v>-71571</v>
          </cell>
          <cell r="M930">
            <v>-146394</v>
          </cell>
          <cell r="N930">
            <v>-613156.35076000018</v>
          </cell>
          <cell r="O930">
            <v>-1220610.9936700002</v>
          </cell>
          <cell r="Q930">
            <v>-477959.15951999999</v>
          </cell>
          <cell r="R930">
            <v>-212822.19550999999</v>
          </cell>
          <cell r="S930">
            <v>-182599</v>
          </cell>
          <cell r="T930">
            <v>-223629</v>
          </cell>
          <cell r="U930">
            <v>-48278.28009</v>
          </cell>
          <cell r="V930">
            <v>-89321</v>
          </cell>
          <cell r="W930">
            <v>-1234608.63512</v>
          </cell>
          <cell r="Y930">
            <v>-720905</v>
          </cell>
          <cell r="Z930">
            <v>-184234.07086999994</v>
          </cell>
          <cell r="AA930">
            <v>-70976</v>
          </cell>
          <cell r="AB930">
            <v>-396370.26695000008</v>
          </cell>
          <cell r="AC930">
            <v>-64475.345539999995</v>
          </cell>
          <cell r="AD930">
            <v>-1436960.6833599999</v>
          </cell>
          <cell r="AF930">
            <v>-6473897.7970900005</v>
          </cell>
        </row>
        <row r="932">
          <cell r="C932">
            <v>-62980.525920000007</v>
          </cell>
          <cell r="D932">
            <v>-262397.28100000002</v>
          </cell>
          <cell r="E932">
            <v>-119118</v>
          </cell>
          <cell r="F932">
            <v>-50308.747480000005</v>
          </cell>
          <cell r="G932">
            <v>-118245</v>
          </cell>
          <cell r="H932">
            <v>-550069.0284800001</v>
          </cell>
          <cell r="J932">
            <v>-62041.530700000003</v>
          </cell>
          <cell r="K932">
            <v>-26316</v>
          </cell>
          <cell r="L932">
            <v>-15956</v>
          </cell>
          <cell r="M932">
            <v>-29978</v>
          </cell>
          <cell r="N932">
            <v>-148433.11419000002</v>
          </cell>
          <cell r="O932">
            <v>-282724.64489</v>
          </cell>
          <cell r="Q932">
            <v>-118191.49170999999</v>
          </cell>
          <cell r="R932">
            <v>-47908.149430000005</v>
          </cell>
          <cell r="S932">
            <v>-28606</v>
          </cell>
          <cell r="T932">
            <v>-52372</v>
          </cell>
          <cell r="U932">
            <v>-10651.12362</v>
          </cell>
          <cell r="V932">
            <v>-15625</v>
          </cell>
          <cell r="W932">
            <v>-273353.76475999999</v>
          </cell>
          <cell r="Y932">
            <v>-142704</v>
          </cell>
          <cell r="Z932">
            <v>-38860.093590000004</v>
          </cell>
          <cell r="AA932">
            <v>-12349</v>
          </cell>
          <cell r="AB932">
            <v>-89108.560499999992</v>
          </cell>
          <cell r="AC932">
            <v>-8399.4022999999997</v>
          </cell>
          <cell r="AD932">
            <v>-291421.05638999998</v>
          </cell>
          <cell r="AF932">
            <v>-1397568.4945200002</v>
          </cell>
        </row>
        <row r="934">
          <cell r="C934">
            <v>-69226.679399999994</v>
          </cell>
          <cell r="D934">
            <v>-197352.99599999998</v>
          </cell>
          <cell r="E934">
            <v>-114631</v>
          </cell>
          <cell r="F934">
            <v>-44011.132289999987</v>
          </cell>
          <cell r="G934">
            <v>-103661</v>
          </cell>
          <cell r="H934">
            <v>-459656.12828999996</v>
          </cell>
          <cell r="J934">
            <v>-62758.373479999995</v>
          </cell>
          <cell r="K934">
            <v>-29047</v>
          </cell>
          <cell r="L934">
            <v>-12611</v>
          </cell>
          <cell r="M934">
            <v>-34751</v>
          </cell>
          <cell r="N934">
            <v>-128939.67573999999</v>
          </cell>
          <cell r="O934">
            <v>-268107.04921999999</v>
          </cell>
          <cell r="Q934">
            <v>-104410.08393000001</v>
          </cell>
          <cell r="R934">
            <v>-45181.949779999995</v>
          </cell>
          <cell r="S934">
            <v>-35927</v>
          </cell>
          <cell r="T934">
            <v>-82314</v>
          </cell>
          <cell r="U934">
            <v>-10696.085000000001</v>
          </cell>
          <cell r="V934">
            <v>-18175</v>
          </cell>
          <cell r="W934">
            <v>-296704.11871000001</v>
          </cell>
          <cell r="Y934">
            <v>-188703</v>
          </cell>
          <cell r="Z934">
            <v>-42333.462480000002</v>
          </cell>
          <cell r="AA934">
            <v>-12603</v>
          </cell>
          <cell r="AB934">
            <v>-67409.400869999998</v>
          </cell>
          <cell r="AC934">
            <v>-15141.594399999998</v>
          </cell>
          <cell r="AD934">
            <v>-326190.45775</v>
          </cell>
          <cell r="AF934">
            <v>-1350657.75397</v>
          </cell>
        </row>
        <row r="936">
          <cell r="C936">
            <v>0</v>
          </cell>
          <cell r="D936">
            <v>0</v>
          </cell>
          <cell r="E936">
            <v>0</v>
          </cell>
          <cell r="F936">
            <v>0</v>
          </cell>
          <cell r="G936">
            <v>0</v>
          </cell>
          <cell r="H936">
            <v>0</v>
          </cell>
          <cell r="J936">
            <v>0</v>
          </cell>
          <cell r="K936">
            <v>0</v>
          </cell>
          <cell r="L936">
            <v>0</v>
          </cell>
          <cell r="M936">
            <v>0</v>
          </cell>
          <cell r="N936">
            <v>0</v>
          </cell>
          <cell r="O936">
            <v>0</v>
          </cell>
          <cell r="Q936">
            <v>0</v>
          </cell>
          <cell r="R936">
            <v>0</v>
          </cell>
          <cell r="S936">
            <v>0</v>
          </cell>
          <cell r="T936">
            <v>0</v>
          </cell>
          <cell r="U936">
            <v>0</v>
          </cell>
          <cell r="V936">
            <v>0</v>
          </cell>
          <cell r="W936">
            <v>0</v>
          </cell>
          <cell r="Y936">
            <v>0</v>
          </cell>
          <cell r="Z936">
            <v>0</v>
          </cell>
          <cell r="AA936">
            <v>0</v>
          </cell>
          <cell r="AB936">
            <v>0</v>
          </cell>
          <cell r="AC936">
            <v>0</v>
          </cell>
          <cell r="AD936">
            <v>0</v>
          </cell>
          <cell r="AF936">
            <v>0</v>
          </cell>
        </row>
        <row r="938">
          <cell r="C938">
            <v>-1631.7608299999997</v>
          </cell>
          <cell r="D938">
            <v>-6376.9330000000009</v>
          </cell>
          <cell r="E938">
            <v>0</v>
          </cell>
          <cell r="F938">
            <v>10.447886299999999</v>
          </cell>
          <cell r="G938">
            <v>0</v>
          </cell>
          <cell r="H938">
            <v>-6366.4851137000005</v>
          </cell>
          <cell r="J938">
            <v>-450.59623999999997</v>
          </cell>
          <cell r="K938">
            <v>-1447</v>
          </cell>
          <cell r="L938">
            <v>0</v>
          </cell>
          <cell r="M938">
            <v>4</v>
          </cell>
          <cell r="N938">
            <v>2323.6483000000003</v>
          </cell>
          <cell r="O938">
            <v>430.05206000000044</v>
          </cell>
          <cell r="Q938">
            <v>2126.7579999999998</v>
          </cell>
          <cell r="R938">
            <v>945.13506999999993</v>
          </cell>
          <cell r="S938">
            <v>612</v>
          </cell>
          <cell r="T938">
            <v>-6911</v>
          </cell>
          <cell r="U938">
            <v>19.263999999999999</v>
          </cell>
          <cell r="V938">
            <v>-808</v>
          </cell>
          <cell r="W938">
            <v>-4015.8429300000003</v>
          </cell>
          <cell r="Y938">
            <v>-8708</v>
          </cell>
          <cell r="Z938">
            <v>1627.5370000000003</v>
          </cell>
          <cell r="AA938">
            <v>782</v>
          </cell>
          <cell r="AB938">
            <v>0</v>
          </cell>
          <cell r="AC938">
            <v>-1625.0248299999998</v>
          </cell>
          <cell r="AD938">
            <v>-7923.48783</v>
          </cell>
          <cell r="AF938">
            <v>-17875.763813700003</v>
          </cell>
        </row>
        <row r="939">
          <cell r="A939" t="str">
            <v>Total Non Personnel Expenses</v>
          </cell>
          <cell r="C939">
            <v>-133838.96615000002</v>
          </cell>
          <cell r="D939">
            <v>-466127.21</v>
          </cell>
          <cell r="E939">
            <v>-233749</v>
          </cell>
          <cell r="F939">
            <v>-94309.431883700003</v>
          </cell>
          <cell r="G939">
            <v>-221906</v>
          </cell>
          <cell r="H939">
            <v>-1016091.6418836999</v>
          </cell>
          <cell r="J939">
            <v>-125250.50042</v>
          </cell>
          <cell r="K939">
            <v>-56810</v>
          </cell>
          <cell r="L939">
            <v>-28567</v>
          </cell>
          <cell r="M939">
            <v>-64725</v>
          </cell>
          <cell r="N939">
            <v>-275049.14163000003</v>
          </cell>
          <cell r="O939">
            <v>-550401.64205000002</v>
          </cell>
          <cell r="Q939">
            <v>-220474.81763999999</v>
          </cell>
          <cell r="R939">
            <v>-92144.964139999996</v>
          </cell>
          <cell r="S939">
            <v>-63921</v>
          </cell>
          <cell r="T939">
            <v>-141597</v>
          </cell>
          <cell r="U939">
            <v>-21327.944620000002</v>
          </cell>
          <cell r="V939">
            <v>-34608</v>
          </cell>
          <cell r="W939">
            <v>-574073.72639999993</v>
          </cell>
          <cell r="Y939">
            <v>-340115</v>
          </cell>
          <cell r="Z939">
            <v>-79566.019070000009</v>
          </cell>
          <cell r="AA939">
            <v>-24170</v>
          </cell>
          <cell r="AB939">
            <v>-156517.96136999998</v>
          </cell>
          <cell r="AC939">
            <v>-25166.021529999995</v>
          </cell>
          <cell r="AD939">
            <v>-625535.0019700001</v>
          </cell>
          <cell r="AF939">
            <v>-2766102.0123037002</v>
          </cell>
        </row>
        <row r="941">
          <cell r="A941" t="str">
            <v>TOTAL EXPENDITURE</v>
          </cell>
          <cell r="C941">
            <v>-478460.59178000025</v>
          </cell>
          <cell r="D941">
            <v>-1478681.9989999996</v>
          </cell>
          <cell r="E941">
            <v>-897663</v>
          </cell>
          <cell r="F941">
            <v>-336822.12782369991</v>
          </cell>
          <cell r="G941">
            <v>-884642</v>
          </cell>
          <cell r="H941">
            <v>-3597809.1268236996</v>
          </cell>
          <cell r="J941">
            <v>-392151.14332999999</v>
          </cell>
          <cell r="K941">
            <v>-179399</v>
          </cell>
          <cell r="L941">
            <v>-100138</v>
          </cell>
          <cell r="M941">
            <v>-211119</v>
          </cell>
          <cell r="N941">
            <v>-888205.49239000049</v>
          </cell>
          <cell r="O941">
            <v>-1771012.6357200006</v>
          </cell>
          <cell r="Q941">
            <v>-698433.97716000013</v>
          </cell>
          <cell r="R941">
            <v>-304967.15964999999</v>
          </cell>
          <cell r="S941">
            <v>-246520</v>
          </cell>
          <cell r="T941">
            <v>-365226</v>
          </cell>
          <cell r="U941">
            <v>-69606.22471000001</v>
          </cell>
          <cell r="V941">
            <v>-123929</v>
          </cell>
          <cell r="W941">
            <v>-1808682.36152</v>
          </cell>
          <cell r="Y941">
            <v>-1061020</v>
          </cell>
          <cell r="Z941">
            <v>-263800.08993999998</v>
          </cell>
          <cell r="AA941">
            <v>-95146</v>
          </cell>
          <cell r="AB941">
            <v>-552888.22832000011</v>
          </cell>
          <cell r="AC941">
            <v>-89641.367069999993</v>
          </cell>
          <cell r="AD941">
            <v>-2062495.68533</v>
          </cell>
          <cell r="AF941">
            <v>-9239999.8093937002</v>
          </cell>
        </row>
        <row r="943">
          <cell r="C943">
            <v>-21001.026600000012</v>
          </cell>
          <cell r="D943">
            <v>-47946.652999999715</v>
          </cell>
          <cell r="E943">
            <v>-16922</v>
          </cell>
          <cell r="F943">
            <v>-5379.8841836997462</v>
          </cell>
          <cell r="G943">
            <v>-18777</v>
          </cell>
          <cell r="H943">
            <v>-89025.53718369946</v>
          </cell>
          <cell r="J943">
            <v>-7927.8114499999465</v>
          </cell>
          <cell r="K943">
            <v>-5734</v>
          </cell>
          <cell r="L943">
            <v>-6370</v>
          </cell>
          <cell r="M943">
            <v>-18072</v>
          </cell>
          <cell r="N943">
            <v>-35682.030690000101</v>
          </cell>
          <cell r="O943">
            <v>-73785.842140000052</v>
          </cell>
          <cell r="Q943">
            <v>-28410.745150000294</v>
          </cell>
          <cell r="R943">
            <v>-6208.0135899999668</v>
          </cell>
          <cell r="S943">
            <v>-7023</v>
          </cell>
          <cell r="T943">
            <v>-7542</v>
          </cell>
          <cell r="U943">
            <v>-2027.6281500000139</v>
          </cell>
          <cell r="V943">
            <v>-2162</v>
          </cell>
          <cell r="W943">
            <v>-53373.386890000271</v>
          </cell>
          <cell r="Y943">
            <v>-38490</v>
          </cell>
          <cell r="Z943">
            <v>-1215.3776899999439</v>
          </cell>
          <cell r="AA943">
            <v>-3458</v>
          </cell>
          <cell r="AB943">
            <v>-21074.971089999995</v>
          </cell>
          <cell r="AC943">
            <v>-6983.398449999986</v>
          </cell>
          <cell r="AD943">
            <v>-71221.747229999921</v>
          </cell>
          <cell r="AF943">
            <v>-287406.51344369969</v>
          </cell>
        </row>
        <row r="946">
          <cell r="C946">
            <v>-17106.541930790001</v>
          </cell>
          <cell r="D946">
            <v>-50401.593000000001</v>
          </cell>
          <cell r="E946">
            <v>-32205</v>
          </cell>
          <cell r="F946">
            <v>-12766.805329999999</v>
          </cell>
          <cell r="G946">
            <v>-28006</v>
          </cell>
          <cell r="H946">
            <v>-123379.39833</v>
          </cell>
          <cell r="J946">
            <v>-19323.213649999998</v>
          </cell>
          <cell r="K946">
            <v>-10702</v>
          </cell>
          <cell r="L946">
            <v>-3055</v>
          </cell>
          <cell r="M946">
            <v>-16429</v>
          </cell>
          <cell r="N946">
            <v>-40214.851909999998</v>
          </cell>
          <cell r="O946">
            <v>-89724.065559999988</v>
          </cell>
          <cell r="Q946">
            <v>-35393.710600000006</v>
          </cell>
          <cell r="R946">
            <v>-13882.665140000001</v>
          </cell>
          <cell r="S946">
            <v>-13309</v>
          </cell>
          <cell r="T946">
            <v>-14717</v>
          </cell>
          <cell r="U946">
            <v>-1708.2069107900002</v>
          </cell>
          <cell r="V946">
            <v>-4673</v>
          </cell>
          <cell r="W946">
            <v>-83683.582650790006</v>
          </cell>
          <cell r="Y946">
            <v>-56227</v>
          </cell>
          <cell r="Z946">
            <v>-11632.022300000001</v>
          </cell>
          <cell r="AA946">
            <v>-4297</v>
          </cell>
          <cell r="AB946">
            <v>-21395.88076</v>
          </cell>
          <cell r="AC946">
            <v>-3373.33502</v>
          </cell>
          <cell r="AD946">
            <v>-96925.238079999996</v>
          </cell>
          <cell r="AF946">
            <v>-393712.28462078999</v>
          </cell>
        </row>
        <row r="947">
          <cell r="C947">
            <v>-8</v>
          </cell>
          <cell r="D947">
            <v>-3741.5929999999998</v>
          </cell>
          <cell r="E947">
            <v>0</v>
          </cell>
          <cell r="F947">
            <v>-145.20599999999999</v>
          </cell>
          <cell r="G947">
            <v>0</v>
          </cell>
          <cell r="H947">
            <v>-3886.799</v>
          </cell>
          <cell r="J947">
            <v>0</v>
          </cell>
          <cell r="K947">
            <v>-206</v>
          </cell>
          <cell r="L947">
            <v>-6</v>
          </cell>
          <cell r="M947">
            <v>0</v>
          </cell>
          <cell r="N947">
            <v>114.07361000000002</v>
          </cell>
          <cell r="O947">
            <v>-97.926389999999984</v>
          </cell>
          <cell r="Q947">
            <v>-23.36927</v>
          </cell>
          <cell r="R947">
            <v>0</v>
          </cell>
          <cell r="S947">
            <v>-49</v>
          </cell>
          <cell r="T947">
            <v>0</v>
          </cell>
          <cell r="U947">
            <v>0</v>
          </cell>
          <cell r="V947">
            <v>0</v>
          </cell>
          <cell r="W947">
            <v>-72.36927</v>
          </cell>
          <cell r="Y947">
            <v>0</v>
          </cell>
          <cell r="Z947">
            <v>0</v>
          </cell>
          <cell r="AA947">
            <v>-2</v>
          </cell>
          <cell r="AB947">
            <v>0</v>
          </cell>
          <cell r="AC947">
            <v>0</v>
          </cell>
          <cell r="AD947">
            <v>-2</v>
          </cell>
          <cell r="AF947">
            <v>-4059.0946600000002</v>
          </cell>
        </row>
        <row r="948">
          <cell r="C948">
            <v>-2596.33142</v>
          </cell>
          <cell r="D948">
            <v>-7368.4660000000003</v>
          </cell>
          <cell r="E948">
            <v>-7860</v>
          </cell>
          <cell r="F948">
            <v>-498.04080999999996</v>
          </cell>
          <cell r="G948">
            <v>-6532</v>
          </cell>
          <cell r="H948">
            <v>-22258.506809999999</v>
          </cell>
          <cell r="J948">
            <v>-3838.7128900000007</v>
          </cell>
          <cell r="K948">
            <v>-1474</v>
          </cell>
          <cell r="L948">
            <v>-457</v>
          </cell>
          <cell r="M948">
            <v>-1457</v>
          </cell>
          <cell r="N948">
            <v>-5087.5754700000007</v>
          </cell>
          <cell r="O948">
            <v>-12314.288360000002</v>
          </cell>
          <cell r="Q948">
            <v>-8383.9701600000008</v>
          </cell>
          <cell r="R948">
            <v>-777.17423999999983</v>
          </cell>
          <cell r="S948">
            <v>-2227</v>
          </cell>
          <cell r="T948">
            <v>-1605</v>
          </cell>
          <cell r="U948">
            <v>-576.33141999999998</v>
          </cell>
          <cell r="V948">
            <v>-967</v>
          </cell>
          <cell r="W948">
            <v>-14536.475820000001</v>
          </cell>
          <cell r="Y948">
            <v>-4055</v>
          </cell>
          <cell r="Z948">
            <v>-1633.11349</v>
          </cell>
          <cell r="AA948">
            <v>-253</v>
          </cell>
          <cell r="AB948">
            <v>-2471.18714</v>
          </cell>
          <cell r="AC948">
            <v>-343</v>
          </cell>
          <cell r="AD948">
            <v>-8755.3006299999997</v>
          </cell>
          <cell r="AF948">
            <v>-57864.571619999995</v>
          </cell>
        </row>
        <row r="949">
          <cell r="C949">
            <v>-4532.2560000000003</v>
          </cell>
          <cell r="D949">
            <v>-39432.841999999997</v>
          </cell>
          <cell r="E949">
            <v>-18200</v>
          </cell>
          <cell r="F949">
            <v>-8066.8140000000003</v>
          </cell>
          <cell r="G949">
            <v>-21560</v>
          </cell>
          <cell r="H949">
            <v>-87259.656000000003</v>
          </cell>
          <cell r="J949">
            <v>-7150.8950900000009</v>
          </cell>
          <cell r="K949">
            <v>-2886</v>
          </cell>
          <cell r="L949">
            <v>-1684</v>
          </cell>
          <cell r="M949">
            <v>-4347</v>
          </cell>
          <cell r="N949">
            <v>-15187.993000000002</v>
          </cell>
          <cell r="O949">
            <v>-31255.888090000004</v>
          </cell>
          <cell r="Q949">
            <v>-5661.6643399999994</v>
          </cell>
          <cell r="R949">
            <v>-5906.2560000000003</v>
          </cell>
          <cell r="S949">
            <v>-5863</v>
          </cell>
          <cell r="T949">
            <v>-7748</v>
          </cell>
          <cell r="U949">
            <v>-381.47600000000006</v>
          </cell>
          <cell r="V949">
            <v>-1245</v>
          </cell>
          <cell r="W949">
            <v>-26805.396339999999</v>
          </cell>
          <cell r="Y949">
            <v>-16177</v>
          </cell>
          <cell r="Z949">
            <v>-6418.4420000000009</v>
          </cell>
          <cell r="AA949">
            <v>-483</v>
          </cell>
          <cell r="AB949">
            <v>-5041.723</v>
          </cell>
          <cell r="AC949">
            <v>-738.78</v>
          </cell>
          <cell r="AD949">
            <v>-28858.945</v>
          </cell>
          <cell r="AF949">
            <v>-174179.88543000002</v>
          </cell>
        </row>
        <row r="1000">
          <cell r="C1000" t="str">
            <v>Small</v>
          </cell>
          <cell r="D1000" t="str">
            <v>Auckland DHB</v>
          </cell>
          <cell r="E1000" t="str">
            <v>Counties Manukau DHB</v>
          </cell>
          <cell r="F1000" t="str">
            <v>Northland DHB</v>
          </cell>
          <cell r="G1000" t="str">
            <v>Waitemata DHB</v>
          </cell>
          <cell r="H1000" t="str">
            <v xml:space="preserve">   Total</v>
          </cell>
          <cell r="J1000" t="str">
            <v>Bay of Plenty DHB</v>
          </cell>
          <cell r="K1000" t="str">
            <v>Lakes DHB</v>
          </cell>
          <cell r="L1000" t="str">
            <v>Tairawhiti DHB</v>
          </cell>
          <cell r="M1000" t="str">
            <v>Taranaki DHB</v>
          </cell>
          <cell r="N1000" t="str">
            <v>Waikato DHB</v>
          </cell>
          <cell r="O1000" t="str">
            <v xml:space="preserve">   Total</v>
          </cell>
          <cell r="Q1000" t="str">
            <v>Capital &amp; Coast DHB</v>
          </cell>
          <cell r="R1000" t="str">
            <v>Hawke's Bay DHB</v>
          </cell>
          <cell r="S1000" t="str">
            <v>Hutt Valley DHB</v>
          </cell>
          <cell r="T1000" t="str">
            <v>MidCentral DHB</v>
          </cell>
          <cell r="U1000" t="str">
            <v>Wairarapa DHB</v>
          </cell>
          <cell r="V1000" t="str">
            <v>Whanganui DHB</v>
          </cell>
          <cell r="W1000" t="str">
            <v xml:space="preserve">   Total</v>
          </cell>
          <cell r="Y1000" t="str">
            <v>Canterbury DHB</v>
          </cell>
          <cell r="Z1000" t="str">
            <v>Nelson Marlborough DHB</v>
          </cell>
          <cell r="AA1000" t="str">
            <v>South Canterbury DHB</v>
          </cell>
          <cell r="AB1000" t="str">
            <v>Southern DHB</v>
          </cell>
          <cell r="AC1000" t="str">
            <v>West Coast DHB</v>
          </cell>
          <cell r="AD1000" t="str">
            <v xml:space="preserve">   Total</v>
          </cell>
          <cell r="AF1000" t="str">
            <v>All DHBs</v>
          </cell>
        </row>
        <row r="1001">
          <cell r="C1001">
            <v>476781.05729000003</v>
          </cell>
          <cell r="D1001">
            <v>1523210.1700000004</v>
          </cell>
          <cell r="E1001">
            <v>937411</v>
          </cell>
          <cell r="F1001">
            <v>361533.13088999991</v>
          </cell>
          <cell r="G1001">
            <v>911285</v>
          </cell>
          <cell r="H1001">
            <v>3733439.3008900005</v>
          </cell>
          <cell r="J1001">
            <v>391701.84915999993</v>
          </cell>
          <cell r="K1001">
            <v>189719</v>
          </cell>
          <cell r="L1001">
            <v>99080</v>
          </cell>
          <cell r="M1001">
            <v>198791</v>
          </cell>
          <cell r="N1001">
            <v>916023.50180999993</v>
          </cell>
          <cell r="O1001">
            <v>1795315.35097</v>
          </cell>
          <cell r="Q1001">
            <v>708378.33590999991</v>
          </cell>
          <cell r="R1001">
            <v>314207.23956999998</v>
          </cell>
          <cell r="S1001">
            <v>247330</v>
          </cell>
          <cell r="T1001">
            <v>362044.5063500001</v>
          </cell>
          <cell r="U1001">
            <v>69254.938550000021</v>
          </cell>
          <cell r="V1001">
            <v>128804</v>
          </cell>
          <cell r="W1001">
            <v>1830019.0203800001</v>
          </cell>
          <cell r="Y1001">
            <v>1078788</v>
          </cell>
          <cell r="Z1001">
            <v>288634.87614000007</v>
          </cell>
          <cell r="AA1001">
            <v>93556</v>
          </cell>
          <cell r="AB1001">
            <v>557768.92736000009</v>
          </cell>
          <cell r="AC1001">
            <v>86086.11874000002</v>
          </cell>
          <cell r="AD1001">
            <v>2104833.9222400002</v>
          </cell>
          <cell r="AF1001">
            <v>9463607.5944800004</v>
          </cell>
        </row>
        <row r="1003">
          <cell r="A1003" t="str">
            <v>Medical Personnel</v>
          </cell>
          <cell r="C1003">
            <v>-83702.871790000005</v>
          </cell>
          <cell r="D1003">
            <v>-350073.96</v>
          </cell>
          <cell r="E1003">
            <v>-194278</v>
          </cell>
          <cell r="F1003">
            <v>-67592.039369999984</v>
          </cell>
          <cell r="G1003">
            <v>-179085</v>
          </cell>
          <cell r="H1003">
            <v>-791028.99936999998</v>
          </cell>
          <cell r="J1003">
            <v>-76291.043520000007</v>
          </cell>
          <cell r="K1003">
            <v>-37657</v>
          </cell>
          <cell r="L1003">
            <v>-21207</v>
          </cell>
          <cell r="M1003">
            <v>-42254</v>
          </cell>
          <cell r="N1003">
            <v>-175545.21713</v>
          </cell>
          <cell r="O1003">
            <v>-352954.26065000001</v>
          </cell>
          <cell r="Q1003">
            <v>-150381.23342999999</v>
          </cell>
          <cell r="R1003">
            <v>-57401.831480000001</v>
          </cell>
          <cell r="S1003">
            <v>-51876</v>
          </cell>
          <cell r="T1003">
            <v>-69138.862930000003</v>
          </cell>
          <cell r="U1003">
            <v>-11734.66879</v>
          </cell>
          <cell r="V1003">
            <v>-22100</v>
          </cell>
          <cell r="W1003">
            <v>-362632.59663000004</v>
          </cell>
          <cell r="Y1003">
            <v>-212350</v>
          </cell>
          <cell r="Z1003">
            <v>-52047.466499999995</v>
          </cell>
          <cell r="AA1003">
            <v>-17553</v>
          </cell>
          <cell r="AB1003">
            <v>-125878.46421000001</v>
          </cell>
          <cell r="AC1003">
            <v>-11108.203000000001</v>
          </cell>
          <cell r="AD1003">
            <v>-418937.13370999997</v>
          </cell>
          <cell r="AF1003">
            <v>-1925552.9903599999</v>
          </cell>
        </row>
        <row r="1004">
          <cell r="A1004" t="str">
            <v>Nursing Personnel</v>
          </cell>
          <cell r="C1004">
            <v>-139991.78022999997</v>
          </cell>
          <cell r="D1004">
            <v>-326860.66399999993</v>
          </cell>
          <cell r="E1004">
            <v>-241359</v>
          </cell>
          <cell r="F1004">
            <v>-91215.162200000021</v>
          </cell>
          <cell r="G1004">
            <v>-249272</v>
          </cell>
          <cell r="H1004">
            <v>-908706.82619999989</v>
          </cell>
          <cell r="J1004">
            <v>-100464.70805</v>
          </cell>
          <cell r="K1004">
            <v>-46794</v>
          </cell>
          <cell r="L1004">
            <v>-26497</v>
          </cell>
          <cell r="M1004">
            <v>-52939</v>
          </cell>
          <cell r="N1004">
            <v>-223010.96404999998</v>
          </cell>
          <cell r="O1004">
            <v>-449705.67209999997</v>
          </cell>
          <cell r="Q1004">
            <v>-193128.57359000001</v>
          </cell>
          <cell r="R1004">
            <v>-80685.182250000013</v>
          </cell>
          <cell r="S1004">
            <v>-62896</v>
          </cell>
          <cell r="T1004">
            <v>-83589.102589999995</v>
          </cell>
          <cell r="U1004">
            <v>-20645.179229999998</v>
          </cell>
          <cell r="V1004">
            <v>-37029</v>
          </cell>
          <cell r="W1004">
            <v>-477973.03766000003</v>
          </cell>
          <cell r="Y1004">
            <v>-301878</v>
          </cell>
          <cell r="Z1004">
            <v>-60136.584379999993</v>
          </cell>
          <cell r="AA1004">
            <v>-26610</v>
          </cell>
          <cell r="AB1004">
            <v>-142760.94260000001</v>
          </cell>
          <cell r="AC1004">
            <v>-29210.601000000002</v>
          </cell>
          <cell r="AD1004">
            <v>-560596.12798000011</v>
          </cell>
          <cell r="AF1004">
            <v>-2396981.6639400003</v>
          </cell>
        </row>
        <row r="1005">
          <cell r="C1005">
            <v>-45097.766820000004</v>
          </cell>
          <cell r="D1005">
            <v>-153361.155</v>
          </cell>
          <cell r="E1005">
            <v>-84983</v>
          </cell>
          <cell r="F1005">
            <v>-39869.167889999</v>
          </cell>
          <cell r="G1005">
            <v>-115171</v>
          </cell>
          <cell r="H1005">
            <v>-393384.32288999902</v>
          </cell>
          <cell r="J1005">
            <v>-37065.498599999999</v>
          </cell>
          <cell r="K1005">
            <v>-15582</v>
          </cell>
          <cell r="L1005">
            <v>-10848</v>
          </cell>
          <cell r="M1005">
            <v>-20467</v>
          </cell>
          <cell r="N1005">
            <v>-78938.509120000002</v>
          </cell>
          <cell r="O1005">
            <v>-162901.00771999999</v>
          </cell>
          <cell r="Q1005">
            <v>-55600.381110000009</v>
          </cell>
          <cell r="R1005">
            <v>-34166.232949999998</v>
          </cell>
          <cell r="S1005">
            <v>-27816</v>
          </cell>
          <cell r="T1005">
            <v>-30517.879940000006</v>
          </cell>
          <cell r="U1005">
            <v>-5370.7668199999998</v>
          </cell>
          <cell r="V1005">
            <v>-11072</v>
          </cell>
          <cell r="W1005">
            <v>-164543.26082</v>
          </cell>
          <cell r="Y1005">
            <v>-115430</v>
          </cell>
          <cell r="Z1005">
            <v>-42279.848970000006</v>
          </cell>
          <cell r="AA1005">
            <v>-6801</v>
          </cell>
          <cell r="AB1005">
            <v>-50558.537180000007</v>
          </cell>
          <cell r="AC1005">
            <v>-11006</v>
          </cell>
          <cell r="AD1005">
            <v>-226075.38615000001</v>
          </cell>
          <cell r="AF1005">
            <v>-946903.97757999902</v>
          </cell>
        </row>
        <row r="1006">
          <cell r="C1006">
            <v>-7343.6273599999995</v>
          </cell>
          <cell r="D1006">
            <v>-20275.615999999995</v>
          </cell>
          <cell r="E1006">
            <v>-28113</v>
          </cell>
          <cell r="F1006">
            <v>-5022.9902799989995</v>
          </cell>
          <cell r="G1006">
            <v>-19275</v>
          </cell>
          <cell r="H1006">
            <v>-72686.606279998989</v>
          </cell>
          <cell r="J1006">
            <v>-6072.605849999999</v>
          </cell>
          <cell r="K1006">
            <v>-3274</v>
          </cell>
          <cell r="L1006">
            <v>-2308</v>
          </cell>
          <cell r="M1006">
            <v>-5204</v>
          </cell>
          <cell r="N1006">
            <v>-16644.86074</v>
          </cell>
          <cell r="O1006">
            <v>-33503.466589999996</v>
          </cell>
          <cell r="Q1006">
            <v>-7903.3847699999997</v>
          </cell>
          <cell r="R1006">
            <v>-7671.2283899999993</v>
          </cell>
          <cell r="S1006">
            <v>-6999</v>
          </cell>
          <cell r="T1006">
            <v>-2141.8216399999997</v>
          </cell>
          <cell r="U1006">
            <v>-876.98035999999991</v>
          </cell>
          <cell r="V1006">
            <v>-726</v>
          </cell>
          <cell r="W1006">
            <v>-26318.41516</v>
          </cell>
          <cell r="Y1006">
            <v>-32078</v>
          </cell>
          <cell r="Z1006">
            <v>-6034.2152600000009</v>
          </cell>
          <cell r="AA1006">
            <v>-2299</v>
          </cell>
          <cell r="AB1006">
            <v>-5695.8666899999989</v>
          </cell>
          <cell r="AC1006">
            <v>-1133.6469999999997</v>
          </cell>
          <cell r="AD1006">
            <v>-47240.72894999999</v>
          </cell>
          <cell r="AF1006">
            <v>-179749.21697999898</v>
          </cell>
        </row>
        <row r="1007">
          <cell r="C1007">
            <v>-38387.426989999993</v>
          </cell>
          <cell r="D1007">
            <v>-107911.751</v>
          </cell>
          <cell r="E1007">
            <v>-66192</v>
          </cell>
          <cell r="F1007">
            <v>-31437.571940001002</v>
          </cell>
          <cell r="G1007">
            <v>-68374</v>
          </cell>
          <cell r="H1007">
            <v>-273915.32294000103</v>
          </cell>
          <cell r="J1007">
            <v>-31577.921709999995</v>
          </cell>
          <cell r="K1007">
            <v>-15871</v>
          </cell>
          <cell r="L1007">
            <v>-8360</v>
          </cell>
          <cell r="M1007">
            <v>-20185</v>
          </cell>
          <cell r="N1007">
            <v>-77422.676919999998</v>
          </cell>
          <cell r="O1007">
            <v>-153416.59862999999</v>
          </cell>
          <cell r="Q1007">
            <v>-57240.752019999993</v>
          </cell>
          <cell r="R1007">
            <v>-29069.462810000005</v>
          </cell>
          <cell r="S1007">
            <v>-24377</v>
          </cell>
          <cell r="T1007">
            <v>-22079.547340000001</v>
          </cell>
          <cell r="U1007">
            <v>-4893.4939899999999</v>
          </cell>
          <cell r="V1007">
            <v>-10607</v>
          </cell>
          <cell r="W1007">
            <v>-148267.25615999999</v>
          </cell>
          <cell r="Y1007">
            <v>-84260</v>
          </cell>
          <cell r="Z1007">
            <v>-22893.134850000006</v>
          </cell>
          <cell r="AA1007">
            <v>-8020</v>
          </cell>
          <cell r="AB1007">
            <v>-40448.261350000001</v>
          </cell>
          <cell r="AC1007">
            <v>-6506.9329999999991</v>
          </cell>
          <cell r="AD1007">
            <v>-162128.32920000001</v>
          </cell>
          <cell r="AF1007">
            <v>-737727.50693000108</v>
          </cell>
        </row>
        <row r="1008">
          <cell r="A1008" t="str">
            <v>Total Personnel</v>
          </cell>
          <cell r="C1008">
            <v>-314523.47318999993</v>
          </cell>
          <cell r="D1008">
            <v>-958483.14599999983</v>
          </cell>
          <cell r="E1008">
            <v>-614925</v>
          </cell>
          <cell r="F1008">
            <v>-235136.93167999893</v>
          </cell>
          <cell r="G1008">
            <v>-631177</v>
          </cell>
          <cell r="H1008">
            <v>-2439722.0776799987</v>
          </cell>
          <cell r="J1008">
            <v>-251471.77772999994</v>
          </cell>
          <cell r="K1008">
            <v>-119178</v>
          </cell>
          <cell r="L1008">
            <v>-69220</v>
          </cell>
          <cell r="M1008">
            <v>-141049</v>
          </cell>
          <cell r="N1008">
            <v>-571562.22795999993</v>
          </cell>
          <cell r="O1008">
            <v>-1152481.00569</v>
          </cell>
          <cell r="Q1008">
            <v>-464254.32491999998</v>
          </cell>
          <cell r="R1008">
            <v>-208993.93787999998</v>
          </cell>
          <cell r="S1008">
            <v>-173964</v>
          </cell>
          <cell r="T1008">
            <v>-207467.21444000004</v>
          </cell>
          <cell r="U1008">
            <v>-43521.089190000006</v>
          </cell>
          <cell r="V1008">
            <v>-81534</v>
          </cell>
          <cell r="W1008">
            <v>-1179734.5664299999</v>
          </cell>
          <cell r="Y1008">
            <v>-745996</v>
          </cell>
          <cell r="Z1008">
            <v>-183391.24995999999</v>
          </cell>
          <cell r="AA1008">
            <v>-61283</v>
          </cell>
          <cell r="AB1008">
            <v>-365342.07202999992</v>
          </cell>
          <cell r="AC1008">
            <v>-58965.384000000005</v>
          </cell>
          <cell r="AD1008">
            <v>-1414977.7059899999</v>
          </cell>
          <cell r="AF1008">
            <v>-6186915.3557899985</v>
          </cell>
        </row>
        <row r="1010">
          <cell r="A1010" t="str">
            <v xml:space="preserve">    Outsourced Services</v>
          </cell>
          <cell r="C1010">
            <v>-49017.143710000011</v>
          </cell>
          <cell r="D1010">
            <v>-115214.893</v>
          </cell>
          <cell r="E1010">
            <v>-86088</v>
          </cell>
          <cell r="F1010">
            <v>-34735.683999999994</v>
          </cell>
          <cell r="G1010">
            <v>-67424</v>
          </cell>
          <cell r="H1010">
            <v>-303462.57699999999</v>
          </cell>
          <cell r="J1010">
            <v>-38668.429700000001</v>
          </cell>
          <cell r="K1010">
            <v>-15126</v>
          </cell>
          <cell r="L1010">
            <v>-8249</v>
          </cell>
          <cell r="M1010">
            <v>-15809</v>
          </cell>
          <cell r="N1010">
            <v>-92386.047210000004</v>
          </cell>
          <cell r="O1010">
            <v>-170238.47691000003</v>
          </cell>
          <cell r="Q1010">
            <v>-35375.171410000003</v>
          </cell>
          <cell r="R1010">
            <v>-18786.535</v>
          </cell>
          <cell r="S1010">
            <v>-16277</v>
          </cell>
          <cell r="T1010">
            <v>-25771.353399999996</v>
          </cell>
          <cell r="U1010">
            <v>-6997.1177100000023</v>
          </cell>
          <cell r="V1010">
            <v>-13962</v>
          </cell>
          <cell r="W1010">
            <v>-117169.17752</v>
          </cell>
          <cell r="Y1010">
            <v>-27359</v>
          </cell>
          <cell r="Z1010">
            <v>-20188.461060000001</v>
          </cell>
          <cell r="AA1010">
            <v>-12089</v>
          </cell>
          <cell r="AB1010">
            <v>-41705.451939999999</v>
          </cell>
          <cell r="AC1010">
            <v>-7720.025999999998</v>
          </cell>
          <cell r="AD1010">
            <v>-109061.939</v>
          </cell>
          <cell r="AF1010">
            <v>-699932.17043000006</v>
          </cell>
        </row>
        <row r="1011">
          <cell r="C1011">
            <v>-363540.61689999996</v>
          </cell>
          <cell r="D1011">
            <v>-1073698.0389999999</v>
          </cell>
          <cell r="E1011">
            <v>-701013</v>
          </cell>
          <cell r="F1011">
            <v>-269872.61567999894</v>
          </cell>
          <cell r="G1011">
            <v>-698601</v>
          </cell>
          <cell r="H1011">
            <v>-2743184.6546799988</v>
          </cell>
          <cell r="J1011">
            <v>-290140.20742999995</v>
          </cell>
          <cell r="K1011">
            <v>-134304</v>
          </cell>
          <cell r="L1011">
            <v>-77469</v>
          </cell>
          <cell r="M1011">
            <v>-156858</v>
          </cell>
          <cell r="N1011">
            <v>-663948.27516999992</v>
          </cell>
          <cell r="O1011">
            <v>-1322719.4825999998</v>
          </cell>
          <cell r="Q1011">
            <v>-499629.49632999999</v>
          </cell>
          <cell r="R1011">
            <v>-227780.47287999999</v>
          </cell>
          <cell r="S1011">
            <v>-190241</v>
          </cell>
          <cell r="T1011">
            <v>-233238.56784000003</v>
          </cell>
          <cell r="U1011">
            <v>-50518.206900000005</v>
          </cell>
          <cell r="V1011">
            <v>-95496</v>
          </cell>
          <cell r="W1011">
            <v>-1296903.74395</v>
          </cell>
          <cell r="Y1011">
            <v>-773355</v>
          </cell>
          <cell r="Z1011">
            <v>-203579.71101999999</v>
          </cell>
          <cell r="AA1011">
            <v>-73372</v>
          </cell>
          <cell r="AB1011">
            <v>-407047.52396999992</v>
          </cell>
          <cell r="AC1011">
            <v>-66685.41</v>
          </cell>
          <cell r="AD1011">
            <v>-1524039.6449899999</v>
          </cell>
          <cell r="AF1011">
            <v>-6886847.5262199985</v>
          </cell>
        </row>
        <row r="1013">
          <cell r="C1013">
            <v>-69362.184980000005</v>
          </cell>
          <cell r="D1013">
            <v>-276224.90499999997</v>
          </cell>
          <cell r="E1013">
            <v>-127759</v>
          </cell>
          <cell r="F1013">
            <v>-53116.505989999998</v>
          </cell>
          <cell r="G1013">
            <v>-123940</v>
          </cell>
          <cell r="H1013">
            <v>-581040.41099</v>
          </cell>
          <cell r="J1013">
            <v>-67838.141100000008</v>
          </cell>
          <cell r="K1013">
            <v>-29340</v>
          </cell>
          <cell r="L1013">
            <v>-17354</v>
          </cell>
          <cell r="M1013">
            <v>-33052</v>
          </cell>
          <cell r="N1013">
            <v>-156568.05715000001</v>
          </cell>
          <cell r="O1013">
            <v>-304152.19825000002</v>
          </cell>
          <cell r="Q1013">
            <v>-123130.45427999999</v>
          </cell>
          <cell r="R1013">
            <v>-49696.064059999997</v>
          </cell>
          <cell r="S1013">
            <v>-30017</v>
          </cell>
          <cell r="T1013">
            <v>-54956.871459999995</v>
          </cell>
          <cell r="U1013">
            <v>-12512.537979999999</v>
          </cell>
          <cell r="V1013">
            <v>-17000</v>
          </cell>
          <cell r="W1013">
            <v>-287312.92777999997</v>
          </cell>
          <cell r="Y1013">
            <v>-144432</v>
          </cell>
          <cell r="Z1013">
            <v>-41775.022020000004</v>
          </cell>
          <cell r="AA1013">
            <v>-13577</v>
          </cell>
          <cell r="AB1013">
            <v>-93479.906079999986</v>
          </cell>
          <cell r="AC1013">
            <v>-8918.6470000000008</v>
          </cell>
          <cell r="AD1013">
            <v>-302182.57510000002</v>
          </cell>
          <cell r="AF1013">
            <v>-1474688.1121199999</v>
          </cell>
        </row>
        <row r="1015">
          <cell r="C1015">
            <v>-72166.481870000003</v>
          </cell>
          <cell r="D1015">
            <v>-206865.45099999997</v>
          </cell>
          <cell r="E1015">
            <v>-132742</v>
          </cell>
          <cell r="F1015">
            <v>-46983.575269999987</v>
          </cell>
          <cell r="G1015">
            <v>-126180</v>
          </cell>
          <cell r="H1015">
            <v>-512771.02626999997</v>
          </cell>
          <cell r="J1015">
            <v>-66806.005770000003</v>
          </cell>
          <cell r="K1015">
            <v>-33605</v>
          </cell>
          <cell r="L1015">
            <v>-11858</v>
          </cell>
          <cell r="M1015">
            <v>-34765</v>
          </cell>
          <cell r="N1015">
            <v>-161545.19663000002</v>
          </cell>
          <cell r="O1015">
            <v>-308579.20240000001</v>
          </cell>
          <cell r="Q1015">
            <v>-116306.43467</v>
          </cell>
          <cell r="R1015">
            <v>-49920.903959999996</v>
          </cell>
          <cell r="S1015">
            <v>-38810</v>
          </cell>
          <cell r="T1015">
            <v>-84892.104050000009</v>
          </cell>
          <cell r="U1015">
            <v>-12487.643869999998</v>
          </cell>
          <cell r="V1015">
            <v>-19910</v>
          </cell>
          <cell r="W1015">
            <v>-322327.08655000001</v>
          </cell>
          <cell r="Y1015">
            <v>-188122</v>
          </cell>
          <cell r="Z1015">
            <v>-47181.42818000001</v>
          </cell>
          <cell r="AA1015">
            <v>-12395</v>
          </cell>
          <cell r="AB1015">
            <v>-71337.520349999992</v>
          </cell>
          <cell r="AC1015">
            <v>-15515.837999999998</v>
          </cell>
          <cell r="AD1015">
            <v>-334551.78652999998</v>
          </cell>
          <cell r="AF1015">
            <v>-1478229.1017499999</v>
          </cell>
        </row>
        <row r="1017">
          <cell r="C1017">
            <v>0</v>
          </cell>
          <cell r="D1017">
            <v>0</v>
          </cell>
          <cell r="E1017">
            <v>0</v>
          </cell>
          <cell r="F1017">
            <v>0</v>
          </cell>
          <cell r="G1017">
            <v>0</v>
          </cell>
          <cell r="H1017">
            <v>0</v>
          </cell>
          <cell r="J1017">
            <v>0</v>
          </cell>
          <cell r="K1017">
            <v>0</v>
          </cell>
          <cell r="L1017">
            <v>0</v>
          </cell>
          <cell r="M1017">
            <v>0</v>
          </cell>
          <cell r="N1017">
            <v>0</v>
          </cell>
          <cell r="O1017">
            <v>0</v>
          </cell>
          <cell r="Q1017">
            <v>0</v>
          </cell>
          <cell r="R1017">
            <v>0</v>
          </cell>
          <cell r="S1017">
            <v>0</v>
          </cell>
          <cell r="T1017">
            <v>0</v>
          </cell>
          <cell r="U1017">
            <v>0</v>
          </cell>
          <cell r="V1017">
            <v>0</v>
          </cell>
          <cell r="W1017">
            <v>0</v>
          </cell>
          <cell r="Y1017">
            <v>0</v>
          </cell>
          <cell r="Z1017">
            <v>0</v>
          </cell>
          <cell r="AA1017">
            <v>0</v>
          </cell>
          <cell r="AB1017">
            <v>0</v>
          </cell>
          <cell r="AC1017">
            <v>0</v>
          </cell>
          <cell r="AD1017">
            <v>0</v>
          </cell>
          <cell r="AF1017">
            <v>0</v>
          </cell>
        </row>
        <row r="1019">
          <cell r="C1019">
            <v>-1424.35644</v>
          </cell>
          <cell r="D1019">
            <v>-6330.2930000000006</v>
          </cell>
          <cell r="E1019">
            <v>0</v>
          </cell>
          <cell r="F1019">
            <v>0.15369999999999986</v>
          </cell>
          <cell r="G1019">
            <v>0</v>
          </cell>
          <cell r="H1019">
            <v>-6330.1393000000007</v>
          </cell>
          <cell r="J1019">
            <v>-1372.2860000000001</v>
          </cell>
          <cell r="K1019">
            <v>-1437</v>
          </cell>
          <cell r="L1019">
            <v>0</v>
          </cell>
          <cell r="M1019">
            <v>5</v>
          </cell>
          <cell r="N1019">
            <v>2321.9881999999998</v>
          </cell>
          <cell r="O1019">
            <v>-482.29780000000028</v>
          </cell>
          <cell r="Q1019">
            <v>2126.2119900000002</v>
          </cell>
          <cell r="R1019">
            <v>945.62207999999976</v>
          </cell>
          <cell r="S1019">
            <v>312</v>
          </cell>
          <cell r="T1019">
            <v>-7410.9959999999983</v>
          </cell>
          <cell r="U1019">
            <v>11.605560000000004</v>
          </cell>
          <cell r="V1019">
            <v>-712</v>
          </cell>
          <cell r="W1019">
            <v>-4727.5563699999984</v>
          </cell>
          <cell r="Y1019">
            <v>-9406</v>
          </cell>
          <cell r="Z1019">
            <v>1634.038</v>
          </cell>
          <cell r="AA1019">
            <v>762</v>
          </cell>
          <cell r="AB1019">
            <v>0</v>
          </cell>
          <cell r="AC1019">
            <v>-1485.962</v>
          </cell>
          <cell r="AD1019">
            <v>-8495.9239999999991</v>
          </cell>
          <cell r="AF1019">
            <v>-20035.91747</v>
          </cell>
        </row>
        <row r="1020">
          <cell r="A1020" t="str">
            <v>Total Non Personnel Expenses</v>
          </cell>
          <cell r="C1020">
            <v>-142953.02329000001</v>
          </cell>
          <cell r="D1020">
            <v>-489420.64899999992</v>
          </cell>
          <cell r="E1020">
            <v>-260501</v>
          </cell>
          <cell r="F1020">
            <v>-100099.92755999998</v>
          </cell>
          <cell r="G1020">
            <v>-250120</v>
          </cell>
          <cell r="H1020">
            <v>-1100141.57656</v>
          </cell>
          <cell r="J1020">
            <v>-136016.43286999999</v>
          </cell>
          <cell r="K1020">
            <v>-64382</v>
          </cell>
          <cell r="L1020">
            <v>-29212</v>
          </cell>
          <cell r="M1020">
            <v>-67812</v>
          </cell>
          <cell r="N1020">
            <v>-315791.26558000001</v>
          </cell>
          <cell r="O1020">
            <v>-613213.69845000003</v>
          </cell>
          <cell r="Q1020">
            <v>-237310.67695999998</v>
          </cell>
          <cell r="R1020">
            <v>-98671.345939999999</v>
          </cell>
          <cell r="S1020">
            <v>-68515</v>
          </cell>
          <cell r="T1020">
            <v>-147259.97151</v>
          </cell>
          <cell r="U1020">
            <v>-24988.576289999997</v>
          </cell>
          <cell r="V1020">
            <v>-37622</v>
          </cell>
          <cell r="W1020">
            <v>-614367.57070000004</v>
          </cell>
          <cell r="Y1020">
            <v>-341960</v>
          </cell>
          <cell r="Z1020">
            <v>-87322.412200000021</v>
          </cell>
          <cell r="AA1020">
            <v>-25210</v>
          </cell>
          <cell r="AB1020">
            <v>-164817.42642999999</v>
          </cell>
          <cell r="AC1020">
            <v>-25920.447</v>
          </cell>
          <cell r="AD1020">
            <v>-645230.28563000006</v>
          </cell>
          <cell r="AF1020">
            <v>-2972953.1313399998</v>
          </cell>
        </row>
        <row r="1022">
          <cell r="A1022" t="str">
            <v>TOTAL EXPENDITURE</v>
          </cell>
          <cell r="C1022">
            <v>-506493.64018999983</v>
          </cell>
          <cell r="D1022">
            <v>-1563118.6879999998</v>
          </cell>
          <cell r="E1022">
            <v>-961514</v>
          </cell>
          <cell r="F1022">
            <v>-369972.54323999886</v>
          </cell>
          <cell r="G1022">
            <v>-948721</v>
          </cell>
          <cell r="H1022">
            <v>-3843326.2312399987</v>
          </cell>
          <cell r="J1022">
            <v>-426156.64029999997</v>
          </cell>
          <cell r="K1022">
            <v>-198686</v>
          </cell>
          <cell r="L1022">
            <v>-106681</v>
          </cell>
          <cell r="M1022">
            <v>-224670</v>
          </cell>
          <cell r="N1022">
            <v>-979739.54074999981</v>
          </cell>
          <cell r="O1022">
            <v>-1935933.1810499998</v>
          </cell>
          <cell r="Q1022">
            <v>-736940.17328999995</v>
          </cell>
          <cell r="R1022">
            <v>-326451.8188200001</v>
          </cell>
          <cell r="S1022">
            <v>-258756</v>
          </cell>
          <cell r="T1022">
            <v>-380498.53935000015</v>
          </cell>
          <cell r="U1022">
            <v>-75506.783190000002</v>
          </cell>
          <cell r="V1022">
            <v>-133118</v>
          </cell>
          <cell r="W1022">
            <v>-1911271.3146500003</v>
          </cell>
          <cell r="Y1022">
            <v>-1115315</v>
          </cell>
          <cell r="Z1022">
            <v>-290902.12322000001</v>
          </cell>
          <cell r="AA1022">
            <v>-98582</v>
          </cell>
          <cell r="AB1022">
            <v>-571864.95039999986</v>
          </cell>
          <cell r="AC1022">
            <v>-92605.857000000018</v>
          </cell>
          <cell r="AD1022">
            <v>-2169269.9306199998</v>
          </cell>
          <cell r="AF1022">
            <v>-9859800.6575599983</v>
          </cell>
        </row>
        <row r="1024">
          <cell r="C1024">
            <v>-29712.582899999979</v>
          </cell>
          <cell r="D1024">
            <v>-39908.517999999727</v>
          </cell>
          <cell r="E1024">
            <v>-24103</v>
          </cell>
          <cell r="F1024">
            <v>-8439.4123499990365</v>
          </cell>
          <cell r="G1024">
            <v>-37436</v>
          </cell>
          <cell r="H1024">
            <v>-109886.93034999876</v>
          </cell>
          <cell r="J1024">
            <v>-34454.791140000038</v>
          </cell>
          <cell r="K1024">
            <v>-8967</v>
          </cell>
          <cell r="L1024">
            <v>-7601</v>
          </cell>
          <cell r="M1024">
            <v>-25879</v>
          </cell>
          <cell r="N1024">
            <v>-63716.03894000002</v>
          </cell>
          <cell r="O1024">
            <v>-140617.83008000007</v>
          </cell>
          <cell r="Q1024">
            <v>-28561.837379999928</v>
          </cell>
          <cell r="R1024">
            <v>-12244.579249999957</v>
          </cell>
          <cell r="S1024">
            <v>-11426</v>
          </cell>
          <cell r="T1024">
            <v>-18454.032999999945</v>
          </cell>
          <cell r="U1024">
            <v>-6251.8446399999912</v>
          </cell>
          <cell r="V1024">
            <v>-4314</v>
          </cell>
          <cell r="W1024">
            <v>-81252.294269999824</v>
          </cell>
          <cell r="Y1024">
            <v>-36527</v>
          </cell>
          <cell r="Z1024">
            <v>-2267.2470799999223</v>
          </cell>
          <cell r="AA1024">
            <v>-5026</v>
          </cell>
          <cell r="AB1024">
            <v>-14096.023039999815</v>
          </cell>
          <cell r="AC1024">
            <v>-6519.7382599999637</v>
          </cell>
          <cell r="AD1024">
            <v>-64436.008379999701</v>
          </cell>
          <cell r="AF1024">
            <v>-396193.06307999836</v>
          </cell>
        </row>
        <row r="1027">
          <cell r="C1027">
            <v>-16322.004375920002</v>
          </cell>
          <cell r="D1027">
            <v>-47558.279000000002</v>
          </cell>
          <cell r="E1027">
            <v>-32906</v>
          </cell>
          <cell r="F1027">
            <v>-12992.88436</v>
          </cell>
          <cell r="G1027">
            <v>-29508</v>
          </cell>
          <cell r="H1027">
            <v>-122965.16336000001</v>
          </cell>
          <cell r="J1027">
            <v>-20755.226409999999</v>
          </cell>
          <cell r="K1027">
            <v>-11806</v>
          </cell>
          <cell r="L1027">
            <v>-3179</v>
          </cell>
          <cell r="M1027">
            <v>-17134</v>
          </cell>
          <cell r="N1027">
            <v>-51013.234819999998</v>
          </cell>
          <cell r="O1027">
            <v>-103887.46123</v>
          </cell>
          <cell r="Q1027">
            <v>-34160.881249999999</v>
          </cell>
          <cell r="R1027">
            <v>-13638.525450000003</v>
          </cell>
          <cell r="S1027">
            <v>-13674</v>
          </cell>
          <cell r="T1027">
            <v>-15076</v>
          </cell>
          <cell r="U1027">
            <v>-1570.2131859199999</v>
          </cell>
          <cell r="V1027">
            <v>-4711</v>
          </cell>
          <cell r="W1027">
            <v>-82830.619885919994</v>
          </cell>
          <cell r="Y1027">
            <v>-58293</v>
          </cell>
          <cell r="Z1027">
            <v>-11888.4223</v>
          </cell>
          <cell r="AA1027">
            <v>-3952</v>
          </cell>
          <cell r="AB1027">
            <v>-21592.620049999998</v>
          </cell>
          <cell r="AC1027">
            <v>-2909.7911899999999</v>
          </cell>
          <cell r="AD1027">
            <v>-98635.833540000007</v>
          </cell>
          <cell r="AF1027">
            <v>-408319.07801592001</v>
          </cell>
        </row>
        <row r="1028">
          <cell r="C1028">
            <v>-98</v>
          </cell>
          <cell r="D1028">
            <v>0</v>
          </cell>
          <cell r="E1028">
            <v>0</v>
          </cell>
          <cell r="F1028">
            <v>427.36779999999993</v>
          </cell>
          <cell r="G1028">
            <v>0</v>
          </cell>
          <cell r="H1028">
            <v>427.36779999999993</v>
          </cell>
          <cell r="J1028">
            <v>0</v>
          </cell>
          <cell r="K1028">
            <v>-16</v>
          </cell>
          <cell r="L1028">
            <v>-98</v>
          </cell>
          <cell r="M1028">
            <v>0</v>
          </cell>
          <cell r="N1028">
            <v>-116.33385999999999</v>
          </cell>
          <cell r="O1028">
            <v>-230.33385999999999</v>
          </cell>
          <cell r="Q1028">
            <v>0</v>
          </cell>
          <cell r="R1028">
            <v>0</v>
          </cell>
          <cell r="S1028">
            <v>-51</v>
          </cell>
          <cell r="T1028">
            <v>0</v>
          </cell>
          <cell r="U1028">
            <v>0</v>
          </cell>
          <cell r="V1028">
            <v>0</v>
          </cell>
          <cell r="W1028">
            <v>-51</v>
          </cell>
          <cell r="Y1028">
            <v>-60</v>
          </cell>
          <cell r="Z1028">
            <v>0</v>
          </cell>
          <cell r="AA1028">
            <v>0</v>
          </cell>
          <cell r="AB1028">
            <v>-9.6718000000000011</v>
          </cell>
          <cell r="AC1028">
            <v>0</v>
          </cell>
          <cell r="AD1028">
            <v>-69.671800000000005</v>
          </cell>
          <cell r="AF1028">
            <v>76.36213999999994</v>
          </cell>
        </row>
        <row r="1029">
          <cell r="C1029">
            <v>-62.757959999999997</v>
          </cell>
          <cell r="D1029">
            <v>0</v>
          </cell>
          <cell r="E1029">
            <v>0</v>
          </cell>
          <cell r="F1029">
            <v>-498</v>
          </cell>
          <cell r="G1029">
            <v>0</v>
          </cell>
          <cell r="H1029">
            <v>-498</v>
          </cell>
          <cell r="J1029">
            <v>0</v>
          </cell>
          <cell r="K1029">
            <v>-112</v>
          </cell>
          <cell r="L1029">
            <v>0</v>
          </cell>
          <cell r="M1029">
            <v>0</v>
          </cell>
          <cell r="N1029">
            <v>0.29739000000000004</v>
          </cell>
          <cell r="O1029">
            <v>-111.70260999999999</v>
          </cell>
          <cell r="Q1029">
            <v>0</v>
          </cell>
          <cell r="R1029">
            <v>0</v>
          </cell>
          <cell r="S1029">
            <v>0</v>
          </cell>
          <cell r="T1029">
            <v>0</v>
          </cell>
          <cell r="U1029">
            <v>-24.757960000000001</v>
          </cell>
          <cell r="V1029">
            <v>0</v>
          </cell>
          <cell r="W1029">
            <v>-24.757960000000001</v>
          </cell>
          <cell r="Y1029">
            <v>0</v>
          </cell>
          <cell r="Z1029">
            <v>0</v>
          </cell>
          <cell r="AA1029">
            <v>-38</v>
          </cell>
          <cell r="AB1029">
            <v>0</v>
          </cell>
          <cell r="AC1029">
            <v>0</v>
          </cell>
          <cell r="AD1029">
            <v>-38</v>
          </cell>
          <cell r="AF1029">
            <v>-672.46057000000008</v>
          </cell>
        </row>
        <row r="1030">
          <cell r="C1030">
            <v>-9622.6530000000002</v>
          </cell>
          <cell r="D1030">
            <v>-55406.35</v>
          </cell>
          <cell r="E1030">
            <v>-37421</v>
          </cell>
          <cell r="F1030">
            <v>-8464.8190000000013</v>
          </cell>
          <cell r="G1030">
            <v>-36679</v>
          </cell>
          <cell r="H1030">
            <v>-137971.16899999999</v>
          </cell>
          <cell r="J1030">
            <v>-15332.672700000005</v>
          </cell>
          <cell r="K1030">
            <v>-6326</v>
          </cell>
          <cell r="L1030">
            <v>-2422</v>
          </cell>
          <cell r="M1030">
            <v>-8226</v>
          </cell>
          <cell r="N1030">
            <v>-37124.141000000011</v>
          </cell>
          <cell r="O1030">
            <v>-69430.813700000013</v>
          </cell>
          <cell r="Q1030">
            <v>-24372.998040000002</v>
          </cell>
          <cell r="R1030">
            <v>-8378.4199999999983</v>
          </cell>
          <cell r="S1030">
            <v>-10091</v>
          </cell>
          <cell r="T1030">
            <v>-10693</v>
          </cell>
          <cell r="U1030">
            <v>-1749.598</v>
          </cell>
          <cell r="V1030">
            <v>-3272</v>
          </cell>
          <cell r="W1030">
            <v>-58557.016040000002</v>
          </cell>
          <cell r="Y1030">
            <v>-30293</v>
          </cell>
          <cell r="Z1030">
            <v>-9375.5199999999986</v>
          </cell>
          <cell r="AA1030">
            <v>-792</v>
          </cell>
          <cell r="AB1030">
            <v>-9121.7990000000009</v>
          </cell>
          <cell r="AC1030">
            <v>-1387.0550000000001</v>
          </cell>
          <cell r="AD1030">
            <v>-50969.373999999996</v>
          </cell>
          <cell r="AF1030">
            <v>-316928.37274000002</v>
          </cell>
        </row>
        <row r="1081">
          <cell r="C1081" t="str">
            <v>Small</v>
          </cell>
          <cell r="D1081" t="str">
            <v>Auckland DHB</v>
          </cell>
          <cell r="E1081" t="str">
            <v>Counties Manukau DHB</v>
          </cell>
          <cell r="F1081" t="str">
            <v>Northland DHB</v>
          </cell>
          <cell r="G1081" t="str">
            <v>Waitemata DHB</v>
          </cell>
          <cell r="H1081" t="str">
            <v xml:space="preserve">   Total</v>
          </cell>
          <cell r="J1081" t="str">
            <v>Bay of Plenty DHB</v>
          </cell>
          <cell r="K1081" t="str">
            <v>Lakes DHB</v>
          </cell>
          <cell r="L1081" t="str">
            <v>Tairawhiti DHB</v>
          </cell>
          <cell r="M1081" t="str">
            <v>Taranaki DHB</v>
          </cell>
          <cell r="N1081" t="str">
            <v>Waikato DHB</v>
          </cell>
          <cell r="O1081" t="str">
            <v xml:space="preserve">   Total</v>
          </cell>
          <cell r="Q1081" t="str">
            <v>Capital &amp; Coast DHB</v>
          </cell>
          <cell r="R1081" t="str">
            <v>Hawke's Bay DHB</v>
          </cell>
          <cell r="S1081" t="str">
            <v>Hutt Valley DHB</v>
          </cell>
          <cell r="T1081" t="str">
            <v>MidCentral DHB</v>
          </cell>
          <cell r="U1081" t="str">
            <v>Wairarapa DHB</v>
          </cell>
          <cell r="V1081" t="str">
            <v>Whanganui DHB</v>
          </cell>
          <cell r="W1081" t="str">
            <v xml:space="preserve">   Total</v>
          </cell>
          <cell r="Y1081" t="str">
            <v>Canterbury DHB</v>
          </cell>
          <cell r="Z1081" t="str">
            <v>Nelson Marlborough DHB</v>
          </cell>
          <cell r="AA1081" t="str">
            <v>South Canterbury DHB</v>
          </cell>
          <cell r="AB1081" t="str">
            <v>Southern DHB</v>
          </cell>
          <cell r="AC1081" t="str">
            <v>West Coast DHB</v>
          </cell>
          <cell r="AD1081" t="str">
            <v xml:space="preserve">   Total</v>
          </cell>
          <cell r="AF1081" t="str">
            <v>All DHBs</v>
          </cell>
        </row>
        <row r="1082">
          <cell r="C1082">
            <v>366313.01517999999</v>
          </cell>
          <cell r="D1082">
            <v>1187122.5280000002</v>
          </cell>
          <cell r="E1082">
            <v>743396</v>
          </cell>
          <cell r="F1082">
            <v>295113.49069000001</v>
          </cell>
          <cell r="G1082">
            <v>713117</v>
          </cell>
          <cell r="H1082">
            <v>2938749.0186900003</v>
          </cell>
          <cell r="J1082">
            <v>316384.55835000001</v>
          </cell>
          <cell r="K1082">
            <v>149364</v>
          </cell>
          <cell r="L1082">
            <v>78405</v>
          </cell>
          <cell r="M1082">
            <v>160874</v>
          </cell>
          <cell r="N1082">
            <v>714710.84853000008</v>
          </cell>
          <cell r="O1082">
            <v>1419738.4068800001</v>
          </cell>
          <cell r="Q1082">
            <v>550872.74009999994</v>
          </cell>
          <cell r="R1082">
            <v>255046.08142000003</v>
          </cell>
          <cell r="S1082">
            <v>193710.10285999998</v>
          </cell>
          <cell r="T1082">
            <v>280833.06255000003</v>
          </cell>
          <cell r="U1082">
            <v>51976.015179999988</v>
          </cell>
          <cell r="V1082">
            <v>98588</v>
          </cell>
          <cell r="W1082">
            <v>1431026.0021100002</v>
          </cell>
          <cell r="Y1082">
            <v>846240.95799999998</v>
          </cell>
          <cell r="Z1082">
            <v>223949.93583999999</v>
          </cell>
          <cell r="AA1082">
            <v>71841</v>
          </cell>
          <cell r="AB1082">
            <v>431640.39685000002</v>
          </cell>
          <cell r="AC1082">
            <v>65503</v>
          </cell>
          <cell r="AD1082">
            <v>1639175.2906900002</v>
          </cell>
          <cell r="AF1082">
            <v>7428688.7183700008</v>
          </cell>
        </row>
        <row r="1084">
          <cell r="A1084" t="str">
            <v>Medical Personnel</v>
          </cell>
          <cell r="C1084">
            <v>-66433.939759999994</v>
          </cell>
          <cell r="D1084">
            <v>-282560.147</v>
          </cell>
          <cell r="E1084">
            <v>-154290</v>
          </cell>
          <cell r="F1084">
            <v>-53481.765540000008</v>
          </cell>
          <cell r="G1084">
            <v>-145544</v>
          </cell>
          <cell r="H1084">
            <v>-635875.91253999993</v>
          </cell>
          <cell r="J1084">
            <v>-60840.827180000008</v>
          </cell>
          <cell r="K1084">
            <v>-31444</v>
          </cell>
          <cell r="L1084">
            <v>-16562</v>
          </cell>
          <cell r="M1084">
            <v>-34900</v>
          </cell>
          <cell r="N1084">
            <v>-144977.11778999999</v>
          </cell>
          <cell r="O1084">
            <v>-288723.94497000001</v>
          </cell>
          <cell r="Q1084">
            <v>-124060.69057999999</v>
          </cell>
          <cell r="R1084">
            <v>-46344.955890000005</v>
          </cell>
          <cell r="S1084">
            <v>-41156.03529</v>
          </cell>
          <cell r="T1084">
            <v>-52419.318530000004</v>
          </cell>
          <cell r="U1084">
            <v>-8881.9397599999993</v>
          </cell>
          <cell r="V1084">
            <v>-17488</v>
          </cell>
          <cell r="W1084">
            <v>-290350.94004999998</v>
          </cell>
          <cell r="Y1084">
            <v>-174635</v>
          </cell>
          <cell r="Z1084">
            <v>-40279.740140000009</v>
          </cell>
          <cell r="AA1084">
            <v>-14668</v>
          </cell>
          <cell r="AB1084">
            <v>-102694.96278</v>
          </cell>
          <cell r="AC1084">
            <v>-8834</v>
          </cell>
          <cell r="AD1084">
            <v>-341111.70292000001</v>
          </cell>
          <cell r="AF1084">
            <v>-1556062.5004799999</v>
          </cell>
        </row>
        <row r="1085">
          <cell r="A1085" t="str">
            <v>Nursing Personnel</v>
          </cell>
          <cell r="C1085">
            <v>-111559.71481000002</v>
          </cell>
          <cell r="D1085">
            <v>-255264.1</v>
          </cell>
          <cell r="E1085">
            <v>-192983</v>
          </cell>
          <cell r="F1085">
            <v>-77606.094930000007</v>
          </cell>
          <cell r="G1085">
            <v>-189872</v>
          </cell>
          <cell r="H1085">
            <v>-715725.19493</v>
          </cell>
          <cell r="J1085">
            <v>-79334.761940000011</v>
          </cell>
          <cell r="K1085">
            <v>-37793</v>
          </cell>
          <cell r="L1085">
            <v>-21522</v>
          </cell>
          <cell r="M1085">
            <v>-43071</v>
          </cell>
          <cell r="N1085">
            <v>-189729.77580000003</v>
          </cell>
          <cell r="O1085">
            <v>-371450.53774000006</v>
          </cell>
          <cell r="Q1085">
            <v>-152735.26008000001</v>
          </cell>
          <cell r="R1085">
            <v>-65305.022419999994</v>
          </cell>
          <cell r="S1085">
            <v>-51315.236269999994</v>
          </cell>
          <cell r="T1085">
            <v>-65156.65137</v>
          </cell>
          <cell r="U1085">
            <v>-16902.714809999998</v>
          </cell>
          <cell r="V1085">
            <v>-29866</v>
          </cell>
          <cell r="W1085">
            <v>-381280.88494999992</v>
          </cell>
          <cell r="Y1085">
            <v>-240215</v>
          </cell>
          <cell r="Z1085">
            <v>-47555.682089999995</v>
          </cell>
          <cell r="AA1085">
            <v>-20731</v>
          </cell>
          <cell r="AB1085">
            <v>-110127.59374</v>
          </cell>
          <cell r="AC1085">
            <v>-22538</v>
          </cell>
          <cell r="AD1085">
            <v>-441167.27583</v>
          </cell>
          <cell r="AF1085">
            <v>-1909623.8934499999</v>
          </cell>
        </row>
        <row r="1086">
          <cell r="C1086">
            <v>-35690.190409999996</v>
          </cell>
          <cell r="D1086">
            <v>-118591.70600000001</v>
          </cell>
          <cell r="E1086">
            <v>-63832</v>
          </cell>
          <cell r="F1086">
            <v>-31077.188490000004</v>
          </cell>
          <cell r="G1086">
            <v>-88414</v>
          </cell>
          <cell r="H1086">
            <v>-301914.89448999998</v>
          </cell>
          <cell r="J1086">
            <v>-29745.058770000003</v>
          </cell>
          <cell r="K1086">
            <v>-12174</v>
          </cell>
          <cell r="L1086">
            <v>-8596</v>
          </cell>
          <cell r="M1086">
            <v>-15489</v>
          </cell>
          <cell r="N1086">
            <v>-65856.765390000015</v>
          </cell>
          <cell r="O1086">
            <v>-131860.82416000002</v>
          </cell>
          <cell r="Q1086">
            <v>-43390.784359999998</v>
          </cell>
          <cell r="R1086">
            <v>-26697.631740000001</v>
          </cell>
          <cell r="S1086">
            <v>-22181.668899999997</v>
          </cell>
          <cell r="T1086">
            <v>-24457.615589999998</v>
          </cell>
          <cell r="U1086">
            <v>-4425.1904100000002</v>
          </cell>
          <cell r="V1086">
            <v>-8852</v>
          </cell>
          <cell r="W1086">
            <v>-130004.89099999999</v>
          </cell>
          <cell r="Y1086">
            <v>-92704</v>
          </cell>
          <cell r="Z1086">
            <v>-33236.529559999995</v>
          </cell>
          <cell r="AA1086">
            <v>-5266</v>
          </cell>
          <cell r="AB1086">
            <v>-40482.719209999996</v>
          </cell>
          <cell r="AC1086">
            <v>-8551</v>
          </cell>
          <cell r="AD1086">
            <v>-180240.24877000001</v>
          </cell>
          <cell r="AF1086">
            <v>-744020.85841999995</v>
          </cell>
        </row>
        <row r="1087">
          <cell r="C1087">
            <v>-6202.0937800000011</v>
          </cell>
          <cell r="D1087">
            <v>-17916.350999999999</v>
          </cell>
          <cell r="E1087">
            <v>-22455</v>
          </cell>
          <cell r="F1087">
            <v>-4037.4069500000001</v>
          </cell>
          <cell r="G1087">
            <v>-16093</v>
          </cell>
          <cell r="H1087">
            <v>-60501.757949999992</v>
          </cell>
          <cell r="J1087">
            <v>-5167.5297399999999</v>
          </cell>
          <cell r="K1087">
            <v>-2559</v>
          </cell>
          <cell r="L1087">
            <v>-2220</v>
          </cell>
          <cell r="M1087">
            <v>-4405</v>
          </cell>
          <cell r="N1087">
            <v>-13183.164859999999</v>
          </cell>
          <cell r="O1087">
            <v>-27534.694599999999</v>
          </cell>
          <cell r="Q1087">
            <v>-6407.8734300000006</v>
          </cell>
          <cell r="R1087">
            <v>-6253.4134299999996</v>
          </cell>
          <cell r="S1087">
            <v>-5435.7112699999998</v>
          </cell>
          <cell r="T1087">
            <v>-1663.13481</v>
          </cell>
          <cell r="U1087">
            <v>-734.09377999999992</v>
          </cell>
          <cell r="V1087">
            <v>-613</v>
          </cell>
          <cell r="W1087">
            <v>-21107.226719999999</v>
          </cell>
          <cell r="Y1087">
            <v>-27636</v>
          </cell>
          <cell r="Z1087">
            <v>-4867.3132799999994</v>
          </cell>
          <cell r="AA1087">
            <v>-1775</v>
          </cell>
          <cell r="AB1087">
            <v>-4370.9267999999993</v>
          </cell>
          <cell r="AC1087">
            <v>-860</v>
          </cell>
          <cell r="AD1087">
            <v>-39509.240080000003</v>
          </cell>
          <cell r="AF1087">
            <v>-148652.91934999998</v>
          </cell>
        </row>
        <row r="1088">
          <cell r="C1088">
            <v>-30575.954709999995</v>
          </cell>
          <cell r="D1088">
            <v>-85618.417999999976</v>
          </cell>
          <cell r="E1088">
            <v>-52559</v>
          </cell>
          <cell r="F1088">
            <v>-25547.995170000002</v>
          </cell>
          <cell r="G1088">
            <v>-52705</v>
          </cell>
          <cell r="H1088">
            <v>-216430.41316999999</v>
          </cell>
          <cell r="J1088">
            <v>-25113.502779999999</v>
          </cell>
          <cell r="K1088">
            <v>-12549</v>
          </cell>
          <cell r="L1088">
            <v>-6638</v>
          </cell>
          <cell r="M1088">
            <v>-15961</v>
          </cell>
          <cell r="N1088">
            <v>-63180.486409999998</v>
          </cell>
          <cell r="O1088">
            <v>-123441.98918999999</v>
          </cell>
          <cell r="Q1088">
            <v>-44111.754499999995</v>
          </cell>
          <cell r="R1088">
            <v>-23036.030739999998</v>
          </cell>
          <cell r="S1088">
            <v>-18947.029590000002</v>
          </cell>
          <cell r="T1088">
            <v>-17600.00849</v>
          </cell>
          <cell r="U1088">
            <v>-4377.95471</v>
          </cell>
          <cell r="V1088">
            <v>-8458</v>
          </cell>
          <cell r="W1088">
            <v>-116530.77803</v>
          </cell>
          <cell r="Y1088">
            <v>-67673</v>
          </cell>
          <cell r="Z1088">
            <v>-19090.88234</v>
          </cell>
          <cell r="AA1088">
            <v>-6026</v>
          </cell>
          <cell r="AB1088">
            <v>-33711.682409999994</v>
          </cell>
          <cell r="AC1088">
            <v>-5076</v>
          </cell>
          <cell r="AD1088">
            <v>-131577.56474999999</v>
          </cell>
          <cell r="AF1088">
            <v>-587980.7451399999</v>
          </cell>
        </row>
        <row r="1089">
          <cell r="A1089" t="str">
            <v>Total Personnel</v>
          </cell>
          <cell r="C1089">
            <v>-250461.89346999998</v>
          </cell>
          <cell r="D1089">
            <v>-759950.72200000007</v>
          </cell>
          <cell r="E1089">
            <v>-486119</v>
          </cell>
          <cell r="F1089">
            <v>-191750.45108000003</v>
          </cell>
          <cell r="G1089">
            <v>-492628</v>
          </cell>
          <cell r="H1089">
            <v>-1930448.1730800001</v>
          </cell>
          <cell r="J1089">
            <v>-200201.68041000003</v>
          </cell>
          <cell r="K1089">
            <v>-96519</v>
          </cell>
          <cell r="L1089">
            <v>-55538</v>
          </cell>
          <cell r="M1089">
            <v>-113826</v>
          </cell>
          <cell r="N1089">
            <v>-476927.31025000004</v>
          </cell>
          <cell r="O1089">
            <v>-943011.99066000013</v>
          </cell>
          <cell r="Q1089">
            <v>-370706.36295000004</v>
          </cell>
          <cell r="R1089">
            <v>-167637.05421999999</v>
          </cell>
          <cell r="S1089">
            <v>-139035.68132</v>
          </cell>
          <cell r="T1089">
            <v>-161296.72878999999</v>
          </cell>
          <cell r="U1089">
            <v>-35321.893470000003</v>
          </cell>
          <cell r="V1089">
            <v>-65277</v>
          </cell>
          <cell r="W1089">
            <v>-939274.72074999998</v>
          </cell>
          <cell r="Y1089">
            <v>-602863</v>
          </cell>
          <cell r="Z1089">
            <v>-145030.14741000001</v>
          </cell>
          <cell r="AA1089">
            <v>-48466</v>
          </cell>
          <cell r="AB1089">
            <v>-291387.88493999996</v>
          </cell>
          <cell r="AC1089">
            <v>-45859</v>
          </cell>
          <cell r="AD1089">
            <v>-1133606.03235</v>
          </cell>
          <cell r="AF1089">
            <v>-4946340.9168400001</v>
          </cell>
        </row>
        <row r="1091">
          <cell r="A1091" t="str">
            <v xml:space="preserve">    Outsourced Services</v>
          </cell>
          <cell r="C1091">
            <v>-37920.443209999998</v>
          </cell>
          <cell r="D1091">
            <v>-95574.911000000007</v>
          </cell>
          <cell r="E1091">
            <v>-71395</v>
          </cell>
          <cell r="F1091">
            <v>-29079.517780000009</v>
          </cell>
          <cell r="G1091">
            <v>-55957</v>
          </cell>
          <cell r="H1091">
            <v>-252006.42878000002</v>
          </cell>
          <cell r="J1091">
            <v>-30875.246419999999</v>
          </cell>
          <cell r="K1091">
            <v>-12582</v>
          </cell>
          <cell r="L1091">
            <v>-6446</v>
          </cell>
          <cell r="M1091">
            <v>-11348</v>
          </cell>
          <cell r="N1091">
            <v>-72168.866439999998</v>
          </cell>
          <cell r="O1091">
            <v>-133420.11285999999</v>
          </cell>
          <cell r="Q1091">
            <v>-25951.749419999996</v>
          </cell>
          <cell r="R1091">
            <v>-13952.35101</v>
          </cell>
          <cell r="S1091">
            <v>-11722.215169999999</v>
          </cell>
          <cell r="T1091">
            <v>-21477.90754</v>
          </cell>
          <cell r="U1091">
            <v>-6015.4432099999995</v>
          </cell>
          <cell r="V1091">
            <v>-10441</v>
          </cell>
          <cell r="W1091">
            <v>-89560.66635</v>
          </cell>
          <cell r="Y1091">
            <v>-20785</v>
          </cell>
          <cell r="Z1091">
            <v>-17434.360529999998</v>
          </cell>
          <cell r="AA1091">
            <v>-9183</v>
          </cell>
          <cell r="AB1091">
            <v>-34193.180930000002</v>
          </cell>
          <cell r="AC1091">
            <v>-5835</v>
          </cell>
          <cell r="AD1091">
            <v>-87430.541460000008</v>
          </cell>
          <cell r="AF1091">
            <v>-562417.74945</v>
          </cell>
        </row>
        <row r="1092">
          <cell r="C1092">
            <v>-288382.33667999995</v>
          </cell>
          <cell r="D1092">
            <v>-855525.63300000003</v>
          </cell>
          <cell r="E1092">
            <v>-557514</v>
          </cell>
          <cell r="F1092">
            <v>-220829.96886000002</v>
          </cell>
          <cell r="G1092">
            <v>-548585</v>
          </cell>
          <cell r="H1092">
            <v>-2182454.6018599998</v>
          </cell>
          <cell r="J1092">
            <v>-231076.92683000004</v>
          </cell>
          <cell r="K1092">
            <v>-109101</v>
          </cell>
          <cell r="L1092">
            <v>-61984</v>
          </cell>
          <cell r="M1092">
            <v>-125174</v>
          </cell>
          <cell r="N1092">
            <v>-549096.17668999999</v>
          </cell>
          <cell r="O1092">
            <v>-1076432.1035199999</v>
          </cell>
          <cell r="Q1092">
            <v>-396658.11237000005</v>
          </cell>
          <cell r="R1092">
            <v>-181589.40523</v>
          </cell>
          <cell r="S1092">
            <v>-150757.89649000001</v>
          </cell>
          <cell r="T1092">
            <v>-182774.63633000001</v>
          </cell>
          <cell r="U1092">
            <v>-41337.33668</v>
          </cell>
          <cell r="V1092">
            <v>-75718</v>
          </cell>
          <cell r="W1092">
            <v>-1028835.3871000001</v>
          </cell>
          <cell r="Y1092">
            <v>-623648</v>
          </cell>
          <cell r="Z1092">
            <v>-162464.50794000001</v>
          </cell>
          <cell r="AA1092">
            <v>-57649</v>
          </cell>
          <cell r="AB1092">
            <v>-325581.06586999993</v>
          </cell>
          <cell r="AC1092">
            <v>-51694</v>
          </cell>
          <cell r="AD1092">
            <v>-1221036.57381</v>
          </cell>
          <cell r="AF1092">
            <v>-5508758.6662900001</v>
          </cell>
        </row>
        <row r="1094">
          <cell r="C1094">
            <v>-51608.924459999995</v>
          </cell>
          <cell r="D1094">
            <v>-224238.92500000002</v>
          </cell>
          <cell r="E1094">
            <v>-99988</v>
          </cell>
          <cell r="F1094">
            <v>-42044.497150000003</v>
          </cell>
          <cell r="G1094">
            <v>-94643</v>
          </cell>
          <cell r="H1094">
            <v>-460914.42215000006</v>
          </cell>
          <cell r="J1094">
            <v>-51871.173499999997</v>
          </cell>
          <cell r="K1094">
            <v>-21770</v>
          </cell>
          <cell r="L1094">
            <v>-14072</v>
          </cell>
          <cell r="M1094">
            <v>-26419</v>
          </cell>
          <cell r="N1094">
            <v>-125988.38146</v>
          </cell>
          <cell r="O1094">
            <v>-240120.55496000001</v>
          </cell>
          <cell r="Q1094">
            <v>-96736.448960000009</v>
          </cell>
          <cell r="R1094">
            <v>-41926.219370000006</v>
          </cell>
          <cell r="S1094">
            <v>-20107.582619999997</v>
          </cell>
          <cell r="T1094">
            <v>-42318.255190000003</v>
          </cell>
          <cell r="U1094">
            <v>-8879.924460000002</v>
          </cell>
          <cell r="V1094">
            <v>-13440</v>
          </cell>
          <cell r="W1094">
            <v>-223408.43060000002</v>
          </cell>
          <cell r="Y1094">
            <v>-100878</v>
          </cell>
          <cell r="Z1094">
            <v>-30047.482949999998</v>
          </cell>
          <cell r="AA1094">
            <v>-9503</v>
          </cell>
          <cell r="AB1094">
            <v>-77623.628120000008</v>
          </cell>
          <cell r="AC1094">
            <v>-5714</v>
          </cell>
          <cell r="AD1094">
            <v>-223766.11107000001</v>
          </cell>
          <cell r="AF1094">
            <v>-1148209.5187800003</v>
          </cell>
        </row>
        <row r="1096">
          <cell r="C1096">
            <v>-57095.03714</v>
          </cell>
          <cell r="D1096">
            <v>-154857.08599999998</v>
          </cell>
          <cell r="E1096">
            <v>-105767</v>
          </cell>
          <cell r="F1096">
            <v>-35573.441129999999</v>
          </cell>
          <cell r="G1096">
            <v>-90495</v>
          </cell>
          <cell r="H1096">
            <v>-386692.52713</v>
          </cell>
          <cell r="J1096">
            <v>-52483.437340000004</v>
          </cell>
          <cell r="K1096">
            <v>-24285</v>
          </cell>
          <cell r="L1096">
            <v>-9761</v>
          </cell>
          <cell r="M1096">
            <v>-30710</v>
          </cell>
          <cell r="N1096">
            <v>-122091.52799</v>
          </cell>
          <cell r="O1096">
            <v>-239330.96533000001</v>
          </cell>
          <cell r="Q1096">
            <v>-85807.646779999995</v>
          </cell>
          <cell r="R1096">
            <v>-37510.716009999996</v>
          </cell>
          <cell r="S1096">
            <v>-31839.078870000001</v>
          </cell>
          <cell r="T1096">
            <v>-58301.224780000004</v>
          </cell>
          <cell r="U1096">
            <v>-8544.0371399999985</v>
          </cell>
          <cell r="V1096">
            <v>-16372</v>
          </cell>
          <cell r="W1096">
            <v>-238374.70358</v>
          </cell>
          <cell r="Y1096">
            <v>-145114</v>
          </cell>
          <cell r="Z1096">
            <v>-38888.104969999993</v>
          </cell>
          <cell r="AA1096">
            <v>-9855</v>
          </cell>
          <cell r="AB1096">
            <v>-57150.242360000004</v>
          </cell>
          <cell r="AC1096">
            <v>-12563</v>
          </cell>
          <cell r="AD1096">
            <v>-263570.34733000002</v>
          </cell>
          <cell r="AF1096">
            <v>-1127968.5433700001</v>
          </cell>
        </row>
        <row r="1098">
          <cell r="C1098">
            <v>0</v>
          </cell>
          <cell r="D1098">
            <v>0</v>
          </cell>
          <cell r="E1098">
            <v>0</v>
          </cell>
          <cell r="F1098">
            <v>0</v>
          </cell>
          <cell r="G1098">
            <v>0</v>
          </cell>
          <cell r="H1098">
            <v>0</v>
          </cell>
          <cell r="J1098">
            <v>0</v>
          </cell>
          <cell r="K1098">
            <v>0</v>
          </cell>
          <cell r="L1098">
            <v>0</v>
          </cell>
          <cell r="M1098">
            <v>0</v>
          </cell>
          <cell r="N1098">
            <v>0</v>
          </cell>
          <cell r="O1098">
            <v>0</v>
          </cell>
          <cell r="Q1098">
            <v>0</v>
          </cell>
          <cell r="R1098">
            <v>0</v>
          </cell>
          <cell r="S1098">
            <v>0</v>
          </cell>
          <cell r="T1098">
            <v>0</v>
          </cell>
          <cell r="U1098">
            <v>0</v>
          </cell>
          <cell r="V1098">
            <v>0</v>
          </cell>
          <cell r="W1098">
            <v>0</v>
          </cell>
          <cell r="Y1098">
            <v>0</v>
          </cell>
          <cell r="Z1098">
            <v>0</v>
          </cell>
          <cell r="AA1098">
            <v>0</v>
          </cell>
          <cell r="AB1098">
            <v>0</v>
          </cell>
          <cell r="AC1098">
            <v>0</v>
          </cell>
          <cell r="AD1098">
            <v>0</v>
          </cell>
          <cell r="AF1098">
            <v>0</v>
          </cell>
        </row>
        <row r="1100">
          <cell r="C1100">
            <v>143.96499999999995</v>
          </cell>
          <cell r="D1100">
            <v>-4329.7650000000003</v>
          </cell>
          <cell r="E1100">
            <v>4</v>
          </cell>
          <cell r="F1100">
            <v>-5.7570000000000003E-2</v>
          </cell>
          <cell r="G1100">
            <v>0</v>
          </cell>
          <cell r="H1100">
            <v>-4325.8225700000003</v>
          </cell>
          <cell r="J1100">
            <v>-1074.18029</v>
          </cell>
          <cell r="K1100">
            <v>-1064</v>
          </cell>
          <cell r="L1100">
            <v>0</v>
          </cell>
          <cell r="M1100">
            <v>4</v>
          </cell>
          <cell r="N1100">
            <v>1731.6590000000001</v>
          </cell>
          <cell r="O1100">
            <v>-402.52129000000014</v>
          </cell>
          <cell r="Q1100">
            <v>1594.4400000000003</v>
          </cell>
          <cell r="R1100">
            <v>709.21655999999984</v>
          </cell>
          <cell r="S1100">
            <v>265.43509</v>
          </cell>
          <cell r="T1100">
            <v>-14140.933000000005</v>
          </cell>
          <cell r="U1100">
            <v>7.964999999999999</v>
          </cell>
          <cell r="V1100">
            <v>-444</v>
          </cell>
          <cell r="W1100">
            <v>-12007.876350000004</v>
          </cell>
          <cell r="Y1100">
            <v>-8453</v>
          </cell>
          <cell r="Z1100">
            <v>1232.4807499999999</v>
          </cell>
          <cell r="AA1100">
            <v>580</v>
          </cell>
          <cell r="AB1100">
            <v>0</v>
          </cell>
          <cell r="AC1100">
            <v>0</v>
          </cell>
          <cell r="AD1100">
            <v>-6640.5192500000003</v>
          </cell>
          <cell r="AF1100">
            <v>-23376.739460000008</v>
          </cell>
        </row>
        <row r="1101">
          <cell r="A1101" t="str">
            <v>Total Non Personnel Expenses</v>
          </cell>
          <cell r="C1101">
            <v>-108559.9966</v>
          </cell>
          <cell r="D1101">
            <v>-383425.77600000001</v>
          </cell>
          <cell r="E1101">
            <v>-205751</v>
          </cell>
          <cell r="F1101">
            <v>-77617.995850000007</v>
          </cell>
          <cell r="G1101">
            <v>-185138</v>
          </cell>
          <cell r="H1101">
            <v>-851932.77185000014</v>
          </cell>
          <cell r="J1101">
            <v>-105428.79113000001</v>
          </cell>
          <cell r="K1101">
            <v>-47119</v>
          </cell>
          <cell r="L1101">
            <v>-23833</v>
          </cell>
          <cell r="M1101">
            <v>-57125</v>
          </cell>
          <cell r="N1101">
            <v>-246348.25044999999</v>
          </cell>
          <cell r="O1101">
            <v>-479854.04158000002</v>
          </cell>
          <cell r="Q1101">
            <v>-180949.65574000002</v>
          </cell>
          <cell r="R1101">
            <v>-78727.718820000009</v>
          </cell>
          <cell r="S1101">
            <v>-51681.2264</v>
          </cell>
          <cell r="T1101">
            <v>-114760.41297000002</v>
          </cell>
          <cell r="U1101">
            <v>-17415.996600000002</v>
          </cell>
          <cell r="V1101">
            <v>-30256</v>
          </cell>
          <cell r="W1101">
            <v>-473791.01053000003</v>
          </cell>
          <cell r="Y1101">
            <v>-254445</v>
          </cell>
          <cell r="Z1101">
            <v>-67703.107169999988</v>
          </cell>
          <cell r="AA1101">
            <v>-18778</v>
          </cell>
          <cell r="AB1101">
            <v>-134773.87048000001</v>
          </cell>
          <cell r="AC1101">
            <v>-18277</v>
          </cell>
          <cell r="AD1101">
            <v>-493976.97765000002</v>
          </cell>
          <cell r="AF1101">
            <v>-2299554.8016100004</v>
          </cell>
        </row>
        <row r="1103">
          <cell r="A1103" t="str">
            <v>TOTAL EXPENDITURE</v>
          </cell>
          <cell r="C1103">
            <v>-396942.33327999996</v>
          </cell>
          <cell r="D1103">
            <v>-1238951.4089999998</v>
          </cell>
          <cell r="E1103">
            <v>-763265</v>
          </cell>
          <cell r="F1103">
            <v>-298447.96470999997</v>
          </cell>
          <cell r="G1103">
            <v>-733723</v>
          </cell>
          <cell r="H1103">
            <v>-3034387.37371</v>
          </cell>
          <cell r="J1103">
            <v>-336505.71796000004</v>
          </cell>
          <cell r="K1103">
            <v>-156220</v>
          </cell>
          <cell r="L1103">
            <v>-85817</v>
          </cell>
          <cell r="M1103">
            <v>-182299</v>
          </cell>
          <cell r="N1103">
            <v>-795444.42714000004</v>
          </cell>
          <cell r="O1103">
            <v>-1556286.1451000001</v>
          </cell>
          <cell r="Q1103">
            <v>-577607.76811000006</v>
          </cell>
          <cell r="R1103">
            <v>-260317.12405000001</v>
          </cell>
          <cell r="S1103">
            <v>-202439.12289</v>
          </cell>
          <cell r="T1103">
            <v>-297535.04930000007</v>
          </cell>
          <cell r="U1103">
            <v>-58753.333279999999</v>
          </cell>
          <cell r="V1103">
            <v>-105974</v>
          </cell>
          <cell r="W1103">
            <v>-1502626.39763</v>
          </cell>
          <cell r="Y1103">
            <v>-878093</v>
          </cell>
          <cell r="Z1103">
            <v>-230167.61511000001</v>
          </cell>
          <cell r="AA1103">
            <v>-76427</v>
          </cell>
          <cell r="AB1103">
            <v>-460354.93634999997</v>
          </cell>
          <cell r="AC1103">
            <v>-69971</v>
          </cell>
          <cell r="AD1103">
            <v>-1715013.5514600002</v>
          </cell>
          <cell r="AF1103">
            <v>-7808313.4679000005</v>
          </cell>
        </row>
        <row r="1105">
          <cell r="C1105">
            <v>-30629.318100000004</v>
          </cell>
          <cell r="D1105">
            <v>-51828.881000000059</v>
          </cell>
          <cell r="E1105">
            <v>-19869</v>
          </cell>
          <cell r="F1105">
            <v>-3334.474019999996</v>
          </cell>
          <cell r="G1105">
            <v>-20606</v>
          </cell>
          <cell r="H1105">
            <v>-95638.355020000046</v>
          </cell>
          <cell r="J1105">
            <v>-20121.159609999948</v>
          </cell>
          <cell r="K1105">
            <v>-6856</v>
          </cell>
          <cell r="L1105">
            <v>-7412</v>
          </cell>
          <cell r="M1105">
            <v>-21425</v>
          </cell>
          <cell r="N1105">
            <v>-80733.57861000004</v>
          </cell>
          <cell r="O1105">
            <v>-136547.73822</v>
          </cell>
          <cell r="Q1105">
            <v>-26735.028009999991</v>
          </cell>
          <cell r="R1105">
            <v>-5271.0426300000217</v>
          </cell>
          <cell r="S1105">
            <v>-8729.020029999996</v>
          </cell>
          <cell r="T1105">
            <v>-16701.986749999971</v>
          </cell>
          <cell r="U1105">
            <v>-6777.3181000000041</v>
          </cell>
          <cell r="V1105">
            <v>-7386</v>
          </cell>
          <cell r="W1105">
            <v>-71600.395519999976</v>
          </cell>
          <cell r="Y1105">
            <v>-31852.042000000016</v>
          </cell>
          <cell r="Z1105">
            <v>-6217.6792699999987</v>
          </cell>
          <cell r="AA1105">
            <v>-4586</v>
          </cell>
          <cell r="AB1105">
            <v>-28714.539499999952</v>
          </cell>
          <cell r="AC1105">
            <v>-4468</v>
          </cell>
          <cell r="AD1105">
            <v>-75838.260769999964</v>
          </cell>
          <cell r="AF1105">
            <v>-379624.74953000003</v>
          </cell>
        </row>
        <row r="1108">
          <cell r="C1108">
            <v>-14107.79457</v>
          </cell>
          <cell r="D1108">
            <v>-35383.923000000003</v>
          </cell>
          <cell r="E1108">
            <v>-27381</v>
          </cell>
          <cell r="F1108">
            <v>-10254.789000000001</v>
          </cell>
          <cell r="G1108">
            <v>-21895</v>
          </cell>
          <cell r="H1108">
            <v>-94914.712</v>
          </cell>
          <cell r="J1108">
            <v>-15828.63378</v>
          </cell>
          <cell r="K1108">
            <v>-8553</v>
          </cell>
          <cell r="L1108">
            <v>-2429</v>
          </cell>
          <cell r="M1108">
            <v>-13043</v>
          </cell>
          <cell r="N1108">
            <v>-38729.824809999998</v>
          </cell>
          <cell r="O1108">
            <v>-78583.458589999995</v>
          </cell>
          <cell r="Q1108">
            <v>-26892.149670000003</v>
          </cell>
          <cell r="R1108">
            <v>-9783.2433199999996</v>
          </cell>
          <cell r="S1108">
            <v>-11344.16164</v>
          </cell>
          <cell r="T1108">
            <v>-12197</v>
          </cell>
          <cell r="U1108">
            <v>-1595.9615699999999</v>
          </cell>
          <cell r="V1108">
            <v>-3968</v>
          </cell>
          <cell r="W1108">
            <v>-65780.516199999998</v>
          </cell>
          <cell r="Y1108">
            <v>-39753</v>
          </cell>
          <cell r="Z1108">
            <v>-9739.9427599999999</v>
          </cell>
          <cell r="AA1108">
            <v>-3300</v>
          </cell>
          <cell r="AB1108">
            <v>-17213.43059</v>
          </cell>
          <cell r="AC1108">
            <v>-2814.8330000000001</v>
          </cell>
          <cell r="AD1108">
            <v>-72821.206349999993</v>
          </cell>
          <cell r="AF1108">
            <v>-312099.89314</v>
          </cell>
        </row>
        <row r="1109">
          <cell r="C1109">
            <v>-77.821950000000015</v>
          </cell>
          <cell r="D1109">
            <v>0</v>
          </cell>
          <cell r="E1109">
            <v>0</v>
          </cell>
          <cell r="F1109">
            <v>-32.950230000000005</v>
          </cell>
          <cell r="G1109">
            <v>0</v>
          </cell>
          <cell r="H1109">
            <v>-32.950230000000005</v>
          </cell>
          <cell r="J1109">
            <v>0</v>
          </cell>
          <cell r="K1109">
            <v>-228</v>
          </cell>
          <cell r="L1109">
            <v>-65</v>
          </cell>
          <cell r="M1109">
            <v>-9</v>
          </cell>
          <cell r="N1109">
            <v>-230.31041999999999</v>
          </cell>
          <cell r="O1109">
            <v>-532.31042000000002</v>
          </cell>
          <cell r="Q1109">
            <v>0</v>
          </cell>
          <cell r="R1109">
            <v>0</v>
          </cell>
          <cell r="S1109">
            <v>-20.323989999999998</v>
          </cell>
          <cell r="T1109">
            <v>0</v>
          </cell>
          <cell r="U1109">
            <v>-12.821949999999999</v>
          </cell>
          <cell r="V1109">
            <v>0</v>
          </cell>
          <cell r="W1109">
            <v>-33.145939999999996</v>
          </cell>
          <cell r="Y1109">
            <v>-253</v>
          </cell>
          <cell r="Z1109">
            <v>0</v>
          </cell>
          <cell r="AA1109">
            <v>0</v>
          </cell>
          <cell r="AB1109">
            <v>-11.50169</v>
          </cell>
          <cell r="AC1109">
            <v>0</v>
          </cell>
          <cell r="AD1109">
            <v>-264.50169</v>
          </cell>
          <cell r="AF1109">
            <v>-862.9082800000001</v>
          </cell>
        </row>
        <row r="1110">
          <cell r="C1110">
            <v>-2.8153600000000001</v>
          </cell>
          <cell r="D1110">
            <v>0</v>
          </cell>
          <cell r="E1110">
            <v>0</v>
          </cell>
          <cell r="F1110">
            <v>0</v>
          </cell>
          <cell r="G1110">
            <v>0</v>
          </cell>
          <cell r="H1110">
            <v>0</v>
          </cell>
          <cell r="J1110">
            <v>0</v>
          </cell>
          <cell r="K1110">
            <v>-86</v>
          </cell>
          <cell r="L1110">
            <v>0</v>
          </cell>
          <cell r="M1110">
            <v>0</v>
          </cell>
          <cell r="N1110">
            <v>0</v>
          </cell>
          <cell r="O1110">
            <v>-86</v>
          </cell>
          <cell r="Q1110">
            <v>0</v>
          </cell>
          <cell r="R1110">
            <v>0</v>
          </cell>
          <cell r="S1110">
            <v>0</v>
          </cell>
          <cell r="T1110">
            <v>0</v>
          </cell>
          <cell r="U1110">
            <v>1.1846399999999999</v>
          </cell>
          <cell r="V1110">
            <v>0</v>
          </cell>
          <cell r="W1110">
            <v>1.1846399999999999</v>
          </cell>
          <cell r="Y1110">
            <v>0</v>
          </cell>
          <cell r="Z1110">
            <v>0</v>
          </cell>
          <cell r="AA1110">
            <v>-4</v>
          </cell>
          <cell r="AB1110">
            <v>0</v>
          </cell>
          <cell r="AC1110">
            <v>0</v>
          </cell>
          <cell r="AD1110">
            <v>-4</v>
          </cell>
          <cell r="AF1110">
            <v>-88.815359999999998</v>
          </cell>
        </row>
        <row r="1111">
          <cell r="C1111">
            <v>-7448.6880000000001</v>
          </cell>
          <cell r="D1111">
            <v>-40805.992999999995</v>
          </cell>
          <cell r="E1111">
            <v>-27817</v>
          </cell>
          <cell r="F1111">
            <v>-6062.8872000000001</v>
          </cell>
          <cell r="G1111">
            <v>-27365</v>
          </cell>
          <cell r="H1111">
            <v>-102050.88019999999</v>
          </cell>
          <cell r="J1111">
            <v>-11764.498250000001</v>
          </cell>
          <cell r="K1111">
            <v>-4430</v>
          </cell>
          <cell r="L1111">
            <v>-2072</v>
          </cell>
          <cell r="M1111">
            <v>-7838</v>
          </cell>
          <cell r="N1111">
            <v>-26144.764489999998</v>
          </cell>
          <cell r="O1111">
            <v>-52249.262739999998</v>
          </cell>
          <cell r="Q1111">
            <v>-18518.455160000001</v>
          </cell>
          <cell r="R1111">
            <v>-6346.1299999999992</v>
          </cell>
          <cell r="S1111">
            <v>-9052.4610000000011</v>
          </cell>
          <cell r="T1111">
            <v>-8145</v>
          </cell>
          <cell r="U1111">
            <v>-971.71299999999997</v>
          </cell>
          <cell r="V1111">
            <v>-2680</v>
          </cell>
          <cell r="W1111">
            <v>-45713.759160000009</v>
          </cell>
          <cell r="Y1111">
            <v>-18715</v>
          </cell>
          <cell r="Z1111">
            <v>-8311.4657000000007</v>
          </cell>
          <cell r="AA1111">
            <v>-599</v>
          </cell>
          <cell r="AB1111">
            <v>-8375.7160000000003</v>
          </cell>
          <cell r="AC1111">
            <v>-1125.9749999999999</v>
          </cell>
          <cell r="AD1111">
            <v>-37127.1567</v>
          </cell>
          <cell r="AF1111">
            <v>-237141.0588</v>
          </cell>
        </row>
      </sheetData>
      <sheetData sheetId="3">
        <row r="7">
          <cell r="V7" t="str">
            <v>Actual</v>
          </cell>
        </row>
        <row r="9">
          <cell r="A9" t="str">
            <v>South Canterbury DHB</v>
          </cell>
          <cell r="B9">
            <v>43.25</v>
          </cell>
          <cell r="C9">
            <v>50.052500000000002</v>
          </cell>
          <cell r="D9">
            <v>6.8025000000000002</v>
          </cell>
          <cell r="F9">
            <v>303.91669999999999</v>
          </cell>
          <cell r="G9">
            <v>285.83333333333331</v>
          </cell>
          <cell r="H9">
            <v>-18.083366666666677</v>
          </cell>
          <cell r="J9">
            <v>94.75</v>
          </cell>
          <cell r="K9">
            <v>95.5</v>
          </cell>
          <cell r="L9">
            <v>0.75</v>
          </cell>
          <cell r="N9">
            <v>56.416699999999999</v>
          </cell>
          <cell r="O9">
            <v>53.416666666666664</v>
          </cell>
          <cell r="P9">
            <v>-3.0000333333333344</v>
          </cell>
          <cell r="R9">
            <v>115.91670000000001</v>
          </cell>
          <cell r="S9">
            <v>108.5</v>
          </cell>
          <cell r="T9">
            <v>-7.4167000000000058</v>
          </cell>
          <cell r="V9">
            <v>614.25009999999997</v>
          </cell>
          <cell r="W9">
            <v>593.30250000000001</v>
          </cell>
          <cell r="X9">
            <v>-20.947599999999966</v>
          </cell>
        </row>
        <row r="10">
          <cell r="A10" t="str">
            <v>Tairawhiti DHB</v>
          </cell>
          <cell r="B10">
            <v>57.386699999999998</v>
          </cell>
          <cell r="C10">
            <v>61.489166666666669</v>
          </cell>
          <cell r="D10">
            <v>4.1024666666666718</v>
          </cell>
          <cell r="F10">
            <v>240.41499999999999</v>
          </cell>
          <cell r="G10">
            <v>240</v>
          </cell>
          <cell r="H10">
            <v>-0.41499999999999204</v>
          </cell>
          <cell r="J10">
            <v>137.67920000000001</v>
          </cell>
          <cell r="K10">
            <v>160</v>
          </cell>
          <cell r="L10">
            <v>22.320799999999991</v>
          </cell>
          <cell r="N10">
            <v>18.040800000000001</v>
          </cell>
          <cell r="O10">
            <v>16</v>
          </cell>
          <cell r="P10">
            <v>-2.0408000000000008</v>
          </cell>
          <cell r="R10">
            <v>129.66999999999999</v>
          </cell>
          <cell r="S10">
            <v>137.00083333333333</v>
          </cell>
          <cell r="T10">
            <v>7.3308333333333451</v>
          </cell>
          <cell r="V10">
            <v>583.19169999999997</v>
          </cell>
          <cell r="W10">
            <v>614.49</v>
          </cell>
          <cell r="X10">
            <v>31.29830000000004</v>
          </cell>
        </row>
        <row r="11">
          <cell r="A11" t="str">
            <v>Wairarapa DHB</v>
          </cell>
          <cell r="B11">
            <v>29.949200000000001</v>
          </cell>
          <cell r="C11">
            <v>29.5</v>
          </cell>
          <cell r="D11">
            <v>-0.44920000000000115</v>
          </cell>
          <cell r="F11">
            <v>167.9975</v>
          </cell>
          <cell r="G11">
            <v>158.6</v>
          </cell>
          <cell r="H11">
            <v>-9.397500000000008</v>
          </cell>
          <cell r="J11">
            <v>87.756699999999995</v>
          </cell>
          <cell r="K11">
            <v>105.8</v>
          </cell>
          <cell r="L11">
            <v>18.043300000000002</v>
          </cell>
          <cell r="N11">
            <v>11.833299999999999</v>
          </cell>
          <cell r="O11">
            <v>11</v>
          </cell>
          <cell r="P11">
            <v>-0.83329999999999949</v>
          </cell>
          <cell r="R11">
            <v>108.6825</v>
          </cell>
          <cell r="S11">
            <v>105.5</v>
          </cell>
          <cell r="T11">
            <v>-3.1825000000000001</v>
          </cell>
          <cell r="V11">
            <v>406.2192</v>
          </cell>
          <cell r="W11">
            <v>410.4</v>
          </cell>
          <cell r="X11">
            <v>4.1807999999999765</v>
          </cell>
        </row>
        <row r="12">
          <cell r="A12" t="str">
            <v>West Coast DHB</v>
          </cell>
          <cell r="B12">
            <v>30.316700000000001</v>
          </cell>
          <cell r="C12">
            <v>35.5</v>
          </cell>
          <cell r="D12">
            <v>5.1832999999999991</v>
          </cell>
          <cell r="F12">
            <v>267.95</v>
          </cell>
          <cell r="G12">
            <v>279.89999999999998</v>
          </cell>
          <cell r="H12">
            <v>11.95</v>
          </cell>
          <cell r="J12">
            <v>164.125</v>
          </cell>
          <cell r="K12">
            <v>179.95</v>
          </cell>
          <cell r="L12">
            <v>15.824999999999999</v>
          </cell>
          <cell r="N12">
            <v>40.700000000000003</v>
          </cell>
          <cell r="O12">
            <v>39.25</v>
          </cell>
          <cell r="P12">
            <v>-1.45</v>
          </cell>
          <cell r="R12">
            <v>124.41670000000001</v>
          </cell>
          <cell r="S12">
            <v>112</v>
          </cell>
          <cell r="T12">
            <v>-12.416700000000006</v>
          </cell>
          <cell r="V12">
            <v>627.50840000000005</v>
          </cell>
          <cell r="W12">
            <v>646.6</v>
          </cell>
          <cell r="X12">
            <v>19.091599999999971</v>
          </cell>
        </row>
        <row r="13">
          <cell r="A13" t="str">
            <v>Whanganui DHB</v>
          </cell>
          <cell r="B13">
            <v>70.461699999999993</v>
          </cell>
          <cell r="C13">
            <v>79.109166666666667</v>
          </cell>
          <cell r="D13">
            <v>8.6474666666666735</v>
          </cell>
          <cell r="F13">
            <v>397.745</v>
          </cell>
          <cell r="G13">
            <v>373.35</v>
          </cell>
          <cell r="H13">
            <v>-24.395</v>
          </cell>
          <cell r="J13">
            <v>131.70249999999999</v>
          </cell>
          <cell r="K13">
            <v>132.82333333333335</v>
          </cell>
          <cell r="L13">
            <v>1.1208333333333655</v>
          </cell>
          <cell r="N13">
            <v>20.1767</v>
          </cell>
          <cell r="O13">
            <v>19.327500000000001</v>
          </cell>
          <cell r="P13">
            <v>-0.84919999999999973</v>
          </cell>
          <cell r="R13">
            <v>176.32669999999999</v>
          </cell>
          <cell r="S13">
            <v>168.17333333333332</v>
          </cell>
          <cell r="T13">
            <v>-8.1533666666666704</v>
          </cell>
          <cell r="V13">
            <v>796.4126</v>
          </cell>
          <cell r="W13">
            <v>772.7833333333333</v>
          </cell>
          <cell r="X13">
            <v>-23.629266666666695</v>
          </cell>
        </row>
        <row r="14">
          <cell r="A14" t="str">
            <v>Medium</v>
          </cell>
        </row>
        <row r="15">
          <cell r="A15" t="str">
            <v>Bay of Plenty DHB</v>
          </cell>
          <cell r="B15">
            <v>222.33330000000001</v>
          </cell>
          <cell r="C15">
            <v>251.08333333333334</v>
          </cell>
          <cell r="D15">
            <v>28.750033333333334</v>
          </cell>
          <cell r="F15">
            <v>965.08330000000001</v>
          </cell>
          <cell r="G15">
            <v>908.91666666666663</v>
          </cell>
          <cell r="H15">
            <v>-56.16663333333338</v>
          </cell>
          <cell r="J15">
            <v>392.91669999999999</v>
          </cell>
          <cell r="K15">
            <v>407.16666666666669</v>
          </cell>
          <cell r="L15">
            <v>14.249966666666694</v>
          </cell>
          <cell r="N15">
            <v>144</v>
          </cell>
          <cell r="O15">
            <v>131.91666666666666</v>
          </cell>
          <cell r="P15">
            <v>-12.083333333333343</v>
          </cell>
          <cell r="R15">
            <v>482.16669999999999</v>
          </cell>
          <cell r="S15">
            <v>475.91666666666669</v>
          </cell>
          <cell r="T15">
            <v>-6.250033333333306</v>
          </cell>
          <cell r="V15">
            <v>2206.5</v>
          </cell>
          <cell r="W15">
            <v>2175</v>
          </cell>
          <cell r="X15">
            <v>-31.5</v>
          </cell>
        </row>
        <row r="16">
          <cell r="A16" t="str">
            <v>Hawke's Bay DHB</v>
          </cell>
          <cell r="B16">
            <v>222.0333</v>
          </cell>
          <cell r="C16">
            <v>220.83333333333334</v>
          </cell>
          <cell r="D16">
            <v>-1.1999666666666542</v>
          </cell>
          <cell r="F16">
            <v>806.17499999999995</v>
          </cell>
          <cell r="G16">
            <v>771.91666666666663</v>
          </cell>
          <cell r="H16">
            <v>-34.258333333333326</v>
          </cell>
          <cell r="J16">
            <v>366.6583</v>
          </cell>
          <cell r="K16">
            <v>353.33333333333331</v>
          </cell>
          <cell r="L16">
            <v>-13.324966666666683</v>
          </cell>
          <cell r="N16">
            <v>134</v>
          </cell>
          <cell r="O16">
            <v>134.83333333333334</v>
          </cell>
          <cell r="P16">
            <v>0.83333333333334281</v>
          </cell>
          <cell r="R16">
            <v>398.27499999999998</v>
          </cell>
          <cell r="S16">
            <v>391.16666666666669</v>
          </cell>
          <cell r="T16">
            <v>-7.1083333333332916</v>
          </cell>
          <cell r="V16">
            <v>1927.1415999999999</v>
          </cell>
          <cell r="W16">
            <v>1872.0833333333333</v>
          </cell>
          <cell r="X16">
            <v>-55.058266666666668</v>
          </cell>
        </row>
        <row r="17">
          <cell r="A17" t="str">
            <v>Hutt Valley DHB</v>
          </cell>
          <cell r="B17">
            <v>188.5</v>
          </cell>
          <cell r="C17">
            <v>201.83333333333334</v>
          </cell>
          <cell r="D17">
            <v>13.333333333333343</v>
          </cell>
          <cell r="F17">
            <v>689.08330000000001</v>
          </cell>
          <cell r="G17">
            <v>664</v>
          </cell>
          <cell r="H17">
            <v>-25.083300000000008</v>
          </cell>
          <cell r="J17">
            <v>374.41669999999999</v>
          </cell>
          <cell r="K17">
            <v>408.66666666666669</v>
          </cell>
          <cell r="L17">
            <v>34.249966666666694</v>
          </cell>
          <cell r="N17">
            <v>94.5</v>
          </cell>
          <cell r="O17">
            <v>91</v>
          </cell>
          <cell r="P17">
            <v>-3.5</v>
          </cell>
          <cell r="R17">
            <v>335.33330000000001</v>
          </cell>
          <cell r="S17">
            <v>329.16666666666669</v>
          </cell>
          <cell r="T17">
            <v>-6.1666333333333228</v>
          </cell>
          <cell r="V17">
            <v>1681.8333</v>
          </cell>
          <cell r="W17">
            <v>1694.6666666666667</v>
          </cell>
          <cell r="X17">
            <v>12.833366666666734</v>
          </cell>
        </row>
        <row r="18">
          <cell r="A18" t="str">
            <v>Lakes DHB</v>
          </cell>
          <cell r="B18">
            <v>114</v>
          </cell>
          <cell r="C18">
            <v>121.58333333333333</v>
          </cell>
          <cell r="D18">
            <v>7.5833333333333286</v>
          </cell>
          <cell r="F18">
            <v>451.25</v>
          </cell>
          <cell r="G18">
            <v>428.41666666666669</v>
          </cell>
          <cell r="H18">
            <v>-22.833333333333314</v>
          </cell>
          <cell r="J18">
            <v>189</v>
          </cell>
          <cell r="K18">
            <v>192.33333333333334</v>
          </cell>
          <cell r="L18">
            <v>3.3333333333333428</v>
          </cell>
          <cell r="N18">
            <v>30</v>
          </cell>
          <cell r="O18">
            <v>30.333333333333332</v>
          </cell>
          <cell r="P18">
            <v>0.33333333333333215</v>
          </cell>
          <cell r="R18">
            <v>239.33330000000001</v>
          </cell>
          <cell r="S18">
            <v>256.91666666666669</v>
          </cell>
          <cell r="T18">
            <v>17.583366666666677</v>
          </cell>
          <cell r="V18">
            <v>1023.5833</v>
          </cell>
          <cell r="W18">
            <v>1029.5833333333335</v>
          </cell>
          <cell r="X18">
            <v>6.0000333333334765</v>
          </cell>
        </row>
        <row r="19">
          <cell r="A19" t="str">
            <v>MidCentral DHB</v>
          </cell>
          <cell r="B19">
            <v>238.78</v>
          </cell>
          <cell r="C19">
            <v>255</v>
          </cell>
          <cell r="D19">
            <v>16.22</v>
          </cell>
          <cell r="F19">
            <v>889.44079999999997</v>
          </cell>
          <cell r="G19">
            <v>905</v>
          </cell>
          <cell r="H19">
            <v>15.559200000000033</v>
          </cell>
          <cell r="J19">
            <v>347.16829999999999</v>
          </cell>
          <cell r="K19">
            <v>354</v>
          </cell>
          <cell r="L19">
            <v>6.8317000000000121</v>
          </cell>
          <cell r="N19">
            <v>40.7425</v>
          </cell>
          <cell r="O19">
            <v>37</v>
          </cell>
          <cell r="P19">
            <v>-3.7425000000000002</v>
          </cell>
          <cell r="R19">
            <v>508.77670000000001</v>
          </cell>
          <cell r="S19">
            <v>506</v>
          </cell>
          <cell r="T19">
            <v>-2.7767000000000053</v>
          </cell>
          <cell r="V19">
            <v>2024.9083000000001</v>
          </cell>
          <cell r="W19">
            <v>2057</v>
          </cell>
          <cell r="X19">
            <v>32.091699999999946</v>
          </cell>
        </row>
        <row r="20">
          <cell r="A20" t="str">
            <v>Nelson Marlborough DHB</v>
          </cell>
          <cell r="B20">
            <v>134.91669999999999</v>
          </cell>
          <cell r="C20">
            <v>134.3175</v>
          </cell>
          <cell r="D20">
            <v>-0.59919999999999618</v>
          </cell>
          <cell r="F20">
            <v>619.66669999999999</v>
          </cell>
          <cell r="G20">
            <v>628.64499999999998</v>
          </cell>
          <cell r="H20">
            <v>8.9782999999999902</v>
          </cell>
          <cell r="J20">
            <v>552.16669999999999</v>
          </cell>
          <cell r="K20">
            <v>557.36666666666667</v>
          </cell>
          <cell r="L20">
            <v>5.1999666666666826</v>
          </cell>
          <cell r="N20">
            <v>103.08329999999999</v>
          </cell>
          <cell r="O20">
            <v>101.61916666666667</v>
          </cell>
          <cell r="P20">
            <v>-1.4641333333333222</v>
          </cell>
          <cell r="R20">
            <v>344.36250000000001</v>
          </cell>
          <cell r="S20">
            <v>340.73833333333334</v>
          </cell>
          <cell r="T20">
            <v>-3.6241666666666674</v>
          </cell>
          <cell r="V20">
            <v>1754.1958999999999</v>
          </cell>
          <cell r="W20">
            <v>1762.6866666666665</v>
          </cell>
          <cell r="X20">
            <v>8.4907666666665591</v>
          </cell>
        </row>
        <row r="21">
          <cell r="A21" t="str">
            <v>Northland DHB</v>
          </cell>
          <cell r="B21">
            <v>186.41470000000001</v>
          </cell>
          <cell r="C21">
            <v>195.16684166666667</v>
          </cell>
          <cell r="D21">
            <v>8.7521416666666596</v>
          </cell>
          <cell r="F21">
            <v>793.91179999999997</v>
          </cell>
          <cell r="G21">
            <v>796.53672499999993</v>
          </cell>
          <cell r="H21">
            <v>2.624924999999962</v>
          </cell>
          <cell r="J21">
            <v>370.8972</v>
          </cell>
          <cell r="K21">
            <v>370.07346666666666</v>
          </cell>
          <cell r="L21">
            <v>-0.82373333333333676</v>
          </cell>
          <cell r="N21">
            <v>83.937100000000001</v>
          </cell>
          <cell r="O21">
            <v>85.695575000000005</v>
          </cell>
          <cell r="P21">
            <v>1.7584750000000042</v>
          </cell>
          <cell r="R21">
            <v>407.07659999999998</v>
          </cell>
          <cell r="S21">
            <v>422.7037666666667</v>
          </cell>
          <cell r="T21">
            <v>15.62716666666671</v>
          </cell>
          <cell r="V21">
            <v>1842.2374</v>
          </cell>
          <cell r="W21">
            <v>1870.176375</v>
          </cell>
          <cell r="X21">
            <v>27.938975000000028</v>
          </cell>
        </row>
        <row r="22">
          <cell r="A22" t="str">
            <v>Southland DHB</v>
          </cell>
          <cell r="B22">
            <v>105.325</v>
          </cell>
          <cell r="C22">
            <v>133.82</v>
          </cell>
          <cell r="D22">
            <v>28.495000000000001</v>
          </cell>
          <cell r="F22">
            <v>462.74419999999998</v>
          </cell>
          <cell r="G22">
            <v>450.5</v>
          </cell>
          <cell r="H22">
            <v>-12.244199999999978</v>
          </cell>
          <cell r="J22">
            <v>173.0258</v>
          </cell>
          <cell r="K22">
            <v>185.27</v>
          </cell>
          <cell r="L22">
            <v>12.244199999999978</v>
          </cell>
          <cell r="N22">
            <v>16.135000000000002</v>
          </cell>
          <cell r="O22">
            <v>15</v>
          </cell>
          <cell r="P22">
            <v>-1.135</v>
          </cell>
          <cell r="R22">
            <v>208.76920000000001</v>
          </cell>
          <cell r="S22">
            <v>214.42333333333332</v>
          </cell>
          <cell r="T22">
            <v>5.6541333333333057</v>
          </cell>
          <cell r="V22">
            <v>965.99919999999997</v>
          </cell>
          <cell r="W22">
            <v>999.01333333333321</v>
          </cell>
          <cell r="X22">
            <v>33.014133333333234</v>
          </cell>
        </row>
        <row r="23">
          <cell r="A23" t="str">
            <v>Taranaki DHB</v>
          </cell>
          <cell r="B23">
            <v>116.545</v>
          </cell>
          <cell r="C23">
            <v>117</v>
          </cell>
          <cell r="D23">
            <v>0.45499999999999829</v>
          </cell>
          <cell r="F23">
            <v>528.23329999999999</v>
          </cell>
          <cell r="G23">
            <v>503</v>
          </cell>
          <cell r="H23">
            <v>-25.233299999999986</v>
          </cell>
          <cell r="J23">
            <v>249.52250000000001</v>
          </cell>
          <cell r="K23">
            <v>248</v>
          </cell>
          <cell r="L23">
            <v>-1.522500000000008</v>
          </cell>
          <cell r="N23">
            <v>92.283299999999997</v>
          </cell>
          <cell r="O23">
            <v>100</v>
          </cell>
          <cell r="P23">
            <v>7.716700000000003</v>
          </cell>
          <cell r="R23">
            <v>244.13579999999999</v>
          </cell>
          <cell r="S23">
            <v>229</v>
          </cell>
          <cell r="T23">
            <v>-15.135799999999989</v>
          </cell>
          <cell r="V23">
            <v>1230.7199000000001</v>
          </cell>
          <cell r="W23">
            <v>1197</v>
          </cell>
          <cell r="X23">
            <v>-33.719900000000052</v>
          </cell>
        </row>
        <row r="24">
          <cell r="A24" t="str">
            <v>Large</v>
          </cell>
        </row>
        <row r="25">
          <cell r="A25" t="str">
            <v>Auckland DHB</v>
          </cell>
          <cell r="B25">
            <v>1246.7733000000001</v>
          </cell>
          <cell r="C25">
            <v>1473.8924583333335</v>
          </cell>
          <cell r="D25">
            <v>227.11915833333342</v>
          </cell>
          <cell r="F25">
            <v>3022.1916999999999</v>
          </cell>
          <cell r="G25">
            <v>3037.8894749999999</v>
          </cell>
          <cell r="H25">
            <v>15.697775000000092</v>
          </cell>
          <cell r="J25">
            <v>1613.2874999999999</v>
          </cell>
          <cell r="K25">
            <v>1733.7731333333334</v>
          </cell>
          <cell r="L25">
            <v>120.48563333333345</v>
          </cell>
          <cell r="N25">
            <v>193.70750000000001</v>
          </cell>
          <cell r="O25">
            <v>199.14829999999998</v>
          </cell>
          <cell r="P25">
            <v>5.4407999999999674</v>
          </cell>
          <cell r="R25">
            <v>1347.1783</v>
          </cell>
          <cell r="S25">
            <v>1491.5439833333332</v>
          </cell>
          <cell r="T25">
            <v>144.36568333333321</v>
          </cell>
          <cell r="V25">
            <v>7423.1383000000005</v>
          </cell>
          <cell r="W25">
            <v>7936.2473499999996</v>
          </cell>
          <cell r="X25">
            <v>513.10904999999912</v>
          </cell>
        </row>
        <row r="26">
          <cell r="A26" t="str">
            <v>Canterbury DHB</v>
          </cell>
          <cell r="B26">
            <v>740.85080000000005</v>
          </cell>
          <cell r="C26">
            <v>669.37</v>
          </cell>
          <cell r="D26">
            <v>-71.480800000000045</v>
          </cell>
          <cell r="F26">
            <v>3038.7075</v>
          </cell>
          <cell r="G26">
            <v>2937.92</v>
          </cell>
          <cell r="H26">
            <v>-100.78749999999999</v>
          </cell>
          <cell r="J26">
            <v>1277.4475</v>
          </cell>
          <cell r="K26">
            <v>1264.06</v>
          </cell>
          <cell r="L26">
            <v>-13.387499999999999</v>
          </cell>
          <cell r="N26">
            <v>320.98329999999999</v>
          </cell>
          <cell r="O26">
            <v>321.83999999999997</v>
          </cell>
          <cell r="P26">
            <v>0.85669999999998936</v>
          </cell>
          <cell r="R26">
            <v>1095.9742000000001</v>
          </cell>
          <cell r="S26">
            <v>1050.82</v>
          </cell>
          <cell r="T26">
            <v>-45.154200000000174</v>
          </cell>
          <cell r="V26">
            <v>6473.9632999999994</v>
          </cell>
          <cell r="W26">
            <v>6244.01</v>
          </cell>
          <cell r="X26">
            <v>-229.95329999999922</v>
          </cell>
        </row>
        <row r="27">
          <cell r="A27" t="str">
            <v>Capital &amp; Coast DHB</v>
          </cell>
          <cell r="B27">
            <v>608.03110000000004</v>
          </cell>
          <cell r="C27">
            <v>629.91</v>
          </cell>
          <cell r="D27">
            <v>21.878899999999931</v>
          </cell>
          <cell r="F27">
            <v>1731.5993000000001</v>
          </cell>
          <cell r="G27">
            <v>1683.5</v>
          </cell>
          <cell r="H27">
            <v>-48.099300000000085</v>
          </cell>
          <cell r="J27">
            <v>615.98170000000005</v>
          </cell>
          <cell r="K27">
            <v>624.66999999999996</v>
          </cell>
          <cell r="L27">
            <v>8.6882999999999129</v>
          </cell>
          <cell r="N27">
            <v>171.40690000000001</v>
          </cell>
          <cell r="O27">
            <v>174.69</v>
          </cell>
          <cell r="P27">
            <v>3.2831000000000188</v>
          </cell>
          <cell r="R27">
            <v>738.03710000000001</v>
          </cell>
          <cell r="S27">
            <v>700.52</v>
          </cell>
          <cell r="T27">
            <v>-37.517100000000028</v>
          </cell>
          <cell r="V27">
            <v>3865.0561000000002</v>
          </cell>
          <cell r="W27">
            <v>3813.29</v>
          </cell>
          <cell r="X27">
            <v>-51.766100000000279</v>
          </cell>
        </row>
        <row r="28">
          <cell r="A28" t="str">
            <v>Counties Manukau DHB</v>
          </cell>
          <cell r="B28">
            <v>747.48500000000001</v>
          </cell>
          <cell r="C28">
            <v>759.33333333333337</v>
          </cell>
          <cell r="D28">
            <v>11.848333333333358</v>
          </cell>
          <cell r="F28">
            <v>2049.6466999999998</v>
          </cell>
          <cell r="G28">
            <v>2007.8333333333333</v>
          </cell>
          <cell r="H28">
            <v>-41.813366666666525</v>
          </cell>
          <cell r="J28">
            <v>762.3442</v>
          </cell>
          <cell r="K28">
            <v>809.75</v>
          </cell>
          <cell r="L28">
            <v>47.405799999999999</v>
          </cell>
          <cell r="N28">
            <v>126.1275</v>
          </cell>
          <cell r="O28">
            <v>124</v>
          </cell>
          <cell r="P28">
            <v>-2.1274999999999999</v>
          </cell>
          <cell r="R28">
            <v>699.99</v>
          </cell>
          <cell r="S28">
            <v>751</v>
          </cell>
          <cell r="T28">
            <v>51.01</v>
          </cell>
          <cell r="V28">
            <v>4385.5933999999997</v>
          </cell>
          <cell r="W28">
            <v>4451.9166666666661</v>
          </cell>
          <cell r="X28">
            <v>66.323266666666314</v>
          </cell>
        </row>
        <row r="29">
          <cell r="A29" t="str">
            <v>Otago DHB</v>
          </cell>
          <cell r="B29">
            <v>301.48169999999999</v>
          </cell>
          <cell r="C29">
            <v>316.49849999999998</v>
          </cell>
          <cell r="D29">
            <v>15.016799999999989</v>
          </cell>
          <cell r="F29">
            <v>993.19669999999996</v>
          </cell>
          <cell r="G29">
            <v>1012.82</v>
          </cell>
          <cell r="H29">
            <v>19.623300000000086</v>
          </cell>
          <cell r="J29">
            <v>461.22669999999999</v>
          </cell>
          <cell r="K29">
            <v>488.62659999999988</v>
          </cell>
          <cell r="L29">
            <v>27.399899999999889</v>
          </cell>
          <cell r="N29">
            <v>133.43</v>
          </cell>
          <cell r="O29">
            <v>132.6756</v>
          </cell>
          <cell r="P29">
            <v>-0.75440000000000396</v>
          </cell>
          <cell r="R29">
            <v>444.89749999999998</v>
          </cell>
          <cell r="S29">
            <v>445.20030000000014</v>
          </cell>
          <cell r="T29">
            <v>0.30280000000016116</v>
          </cell>
          <cell r="V29">
            <v>2334.2325999999998</v>
          </cell>
          <cell r="W29">
            <v>2395.8209999999999</v>
          </cell>
          <cell r="X29">
            <v>61.588400000000092</v>
          </cell>
        </row>
        <row r="30">
          <cell r="A30" t="str">
            <v>Waikato DHB</v>
          </cell>
          <cell r="B30">
            <v>559.39170000000001</v>
          </cell>
          <cell r="C30">
            <v>570.84500000000003</v>
          </cell>
          <cell r="D30">
            <v>11.453300000000013</v>
          </cell>
          <cell r="F30">
            <v>1861.1058</v>
          </cell>
          <cell r="G30">
            <v>1926.585</v>
          </cell>
          <cell r="H30">
            <v>65.479199999999992</v>
          </cell>
          <cell r="J30">
            <v>780.22500000000002</v>
          </cell>
          <cell r="K30">
            <v>816.38333333333333</v>
          </cell>
          <cell r="L30">
            <v>36.158333333333303</v>
          </cell>
          <cell r="N30">
            <v>304.73750000000001</v>
          </cell>
          <cell r="O30">
            <v>316.38333333333333</v>
          </cell>
          <cell r="P30">
            <v>11.645833333333314</v>
          </cell>
          <cell r="R30">
            <v>937.64419999999996</v>
          </cell>
          <cell r="S30">
            <v>989.38083333333327</v>
          </cell>
          <cell r="T30">
            <v>51.736633333333316</v>
          </cell>
          <cell r="V30">
            <v>4443.1041999999998</v>
          </cell>
          <cell r="W30">
            <v>4619.5775000000003</v>
          </cell>
          <cell r="X30">
            <v>176.47330000000056</v>
          </cell>
        </row>
        <row r="31">
          <cell r="A31" t="str">
            <v>Waitemata DHB</v>
          </cell>
          <cell r="B31">
            <v>677.16669999999999</v>
          </cell>
          <cell r="C31">
            <v>548.83333333333337</v>
          </cell>
          <cell r="D31">
            <v>-128.33336666666662</v>
          </cell>
          <cell r="F31">
            <v>2119.6667000000002</v>
          </cell>
          <cell r="G31">
            <v>2150</v>
          </cell>
          <cell r="H31">
            <v>30.333299999999781</v>
          </cell>
          <cell r="J31">
            <v>1110.1667</v>
          </cell>
          <cell r="K31">
            <v>1145.6666666666667</v>
          </cell>
          <cell r="L31">
            <v>35.499966666666751</v>
          </cell>
          <cell r="N31">
            <v>115.41670000000001</v>
          </cell>
          <cell r="O31">
            <v>120.75</v>
          </cell>
          <cell r="P31">
            <v>5.3332999999999942</v>
          </cell>
          <cell r="R31">
            <v>759.5</v>
          </cell>
          <cell r="S31">
            <v>761.70833333333337</v>
          </cell>
          <cell r="T31">
            <v>2.2083333333333712</v>
          </cell>
          <cell r="V31">
            <v>4781.9168000000009</v>
          </cell>
          <cell r="W31">
            <v>4726.958333333333</v>
          </cell>
          <cell r="X31">
            <v>-54.958466666667846</v>
          </cell>
        </row>
        <row r="32">
          <cell r="A32" t="str">
            <v>TOTAL</v>
          </cell>
          <cell r="B32">
            <v>6641.3926000000001</v>
          </cell>
          <cell r="C32">
            <v>6854.9711333333325</v>
          </cell>
          <cell r="D32">
            <v>213.57853333333242</v>
          </cell>
          <cell r="F32">
            <v>22399.727000000003</v>
          </cell>
          <cell r="G32">
            <v>22151.162866666666</v>
          </cell>
          <cell r="H32">
            <v>-248.56413333333694</v>
          </cell>
          <cell r="J32">
            <v>10252.464899999999</v>
          </cell>
          <cell r="K32">
            <v>10633.213199999998</v>
          </cell>
          <cell r="L32">
            <v>380.74829999999929</v>
          </cell>
          <cell r="N32">
            <v>2251.6581000000001</v>
          </cell>
          <cell r="O32">
            <v>2255.8794750000002</v>
          </cell>
          <cell r="P32">
            <v>4.22137500000008</v>
          </cell>
          <cell r="R32">
            <v>9846.4629999999997</v>
          </cell>
          <cell r="S32">
            <v>9987.3797166666664</v>
          </cell>
          <cell r="T32">
            <v>140.91671666666662</v>
          </cell>
          <cell r="V32">
            <v>51391.705600000001</v>
          </cell>
          <cell r="W32">
            <v>51882.606391666668</v>
          </cell>
          <cell r="X32">
            <v>490.90079166666692</v>
          </cell>
        </row>
        <row r="50">
          <cell r="A50" t="str">
            <v>DHB</v>
          </cell>
          <cell r="B50" t="str">
            <v>Medical Personnel</v>
          </cell>
          <cell r="F50" t="str">
            <v>Nursing Personnel</v>
          </cell>
          <cell r="J50" t="str">
            <v>Allied Health Personnel</v>
          </cell>
          <cell r="N50" t="str">
            <v>Support Personnel</v>
          </cell>
          <cell r="R50" t="str">
            <v>Management / Administration Personnel</v>
          </cell>
          <cell r="V50" t="str">
            <v>Total</v>
          </cell>
        </row>
        <row r="51">
          <cell r="B51" t="str">
            <v>Actual</v>
          </cell>
          <cell r="C51" t="str">
            <v>Plan</v>
          </cell>
          <cell r="D51" t="str">
            <v>Var</v>
          </cell>
          <cell r="F51" t="str">
            <v>Actual</v>
          </cell>
          <cell r="G51" t="str">
            <v>Plan</v>
          </cell>
          <cell r="H51" t="str">
            <v>Var</v>
          </cell>
          <cell r="J51" t="str">
            <v>Actual</v>
          </cell>
          <cell r="K51" t="str">
            <v>Plan</v>
          </cell>
          <cell r="L51" t="str">
            <v>Var</v>
          </cell>
          <cell r="N51" t="str">
            <v>Actual</v>
          </cell>
          <cell r="O51" t="str">
            <v>Plan</v>
          </cell>
          <cell r="P51" t="str">
            <v>Var</v>
          </cell>
          <cell r="R51" t="str">
            <v>Actual</v>
          </cell>
          <cell r="S51" t="str">
            <v>Plan</v>
          </cell>
          <cell r="T51" t="str">
            <v>Var</v>
          </cell>
          <cell r="V51" t="str">
            <v>Actual</v>
          </cell>
          <cell r="W51" t="str">
            <v>Plan</v>
          </cell>
          <cell r="X51" t="str">
            <v>Var</v>
          </cell>
        </row>
        <row r="52">
          <cell r="A52" t="str">
            <v>Small</v>
          </cell>
        </row>
        <row r="53">
          <cell r="A53" t="str">
            <v>South Canterbury DHB</v>
          </cell>
          <cell r="B53">
            <v>42.416699999999999</v>
          </cell>
          <cell r="C53">
            <v>49.833333333333336</v>
          </cell>
          <cell r="D53">
            <v>7.416633333333337</v>
          </cell>
          <cell r="F53">
            <v>310.08330000000001</v>
          </cell>
          <cell r="G53">
            <v>285.83333333333331</v>
          </cell>
          <cell r="H53">
            <v>-24.249966666666694</v>
          </cell>
          <cell r="J53">
            <v>92.022499999999994</v>
          </cell>
          <cell r="K53">
            <v>100.91666666666667</v>
          </cell>
          <cell r="L53">
            <v>8.8941666666666777</v>
          </cell>
          <cell r="N53">
            <v>61.684199999999997</v>
          </cell>
          <cell r="O53">
            <v>52.583333333333336</v>
          </cell>
          <cell r="P53">
            <v>-9.1008666666666613</v>
          </cell>
          <cell r="R53">
            <v>124.83329999999999</v>
          </cell>
          <cell r="S53">
            <v>120.41666666666667</v>
          </cell>
          <cell r="T53">
            <v>-4.4166333333333228</v>
          </cell>
          <cell r="V53">
            <v>631.04</v>
          </cell>
          <cell r="W53">
            <v>609.58333333333326</v>
          </cell>
          <cell r="X53">
            <v>-21.456666666666706</v>
          </cell>
        </row>
        <row r="54">
          <cell r="A54" t="str">
            <v>Tairawhiti DHB</v>
          </cell>
          <cell r="B54">
            <v>59.107500000000002</v>
          </cell>
          <cell r="C54">
            <v>63</v>
          </cell>
          <cell r="D54">
            <v>3.8925000000000001</v>
          </cell>
          <cell r="F54">
            <v>248.4658</v>
          </cell>
          <cell r="G54">
            <v>248</v>
          </cell>
          <cell r="H54">
            <v>-0.46580000000000155</v>
          </cell>
          <cell r="J54">
            <v>141.51249999999999</v>
          </cell>
          <cell r="K54">
            <v>141</v>
          </cell>
          <cell r="L54">
            <v>-0.51249999999998863</v>
          </cell>
          <cell r="N54">
            <v>17.265000000000001</v>
          </cell>
          <cell r="O54">
            <v>16</v>
          </cell>
          <cell r="P54">
            <v>-1.2649999999999999</v>
          </cell>
          <cell r="R54">
            <v>141.7792</v>
          </cell>
          <cell r="S54">
            <v>135</v>
          </cell>
          <cell r="T54">
            <v>-6.779200000000003</v>
          </cell>
          <cell r="V54">
            <v>608.13</v>
          </cell>
          <cell r="W54">
            <v>603</v>
          </cell>
          <cell r="X54">
            <v>-5.13</v>
          </cell>
        </row>
        <row r="55">
          <cell r="A55" t="str">
            <v>Wairarapa DHB</v>
          </cell>
          <cell r="B55">
            <v>33.004199999999997</v>
          </cell>
          <cell r="C55">
            <v>33</v>
          </cell>
          <cell r="D55">
            <v>-4.199999999997317E-3</v>
          </cell>
          <cell r="F55">
            <v>182.5608</v>
          </cell>
          <cell r="G55">
            <v>166</v>
          </cell>
          <cell r="H55">
            <v>-16.5608</v>
          </cell>
          <cell r="J55">
            <v>90.227500000000006</v>
          </cell>
          <cell r="K55">
            <v>88</v>
          </cell>
          <cell r="L55">
            <v>-2.2275000000000063</v>
          </cell>
          <cell r="N55">
            <v>11.6058</v>
          </cell>
          <cell r="O55">
            <v>12</v>
          </cell>
          <cell r="P55">
            <v>0.39419999999999966</v>
          </cell>
          <cell r="R55">
            <v>115.1117</v>
          </cell>
          <cell r="S55">
            <v>106</v>
          </cell>
          <cell r="T55">
            <v>-9.111699999999999</v>
          </cell>
          <cell r="V55">
            <v>432.51</v>
          </cell>
          <cell r="W55">
            <v>405</v>
          </cell>
          <cell r="X55">
            <v>-27.51</v>
          </cell>
        </row>
        <row r="56">
          <cell r="A56" t="str">
            <v>West Coast DHB</v>
          </cell>
          <cell r="B56">
            <v>27.883299999999998</v>
          </cell>
          <cell r="C56">
            <v>39</v>
          </cell>
          <cell r="D56">
            <v>11.116700000000002</v>
          </cell>
          <cell r="F56">
            <v>274.9083</v>
          </cell>
          <cell r="G56">
            <v>262</v>
          </cell>
          <cell r="H56">
            <v>-12.908299999999997</v>
          </cell>
          <cell r="J56">
            <v>174.29169999999999</v>
          </cell>
          <cell r="K56">
            <v>191</v>
          </cell>
          <cell r="L56">
            <v>16.708300000000008</v>
          </cell>
          <cell r="N56">
            <v>41.316699999999997</v>
          </cell>
          <cell r="O56">
            <v>41</v>
          </cell>
          <cell r="P56">
            <v>-0.31669999999999732</v>
          </cell>
          <cell r="R56">
            <v>138.67500000000001</v>
          </cell>
          <cell r="S56">
            <v>127</v>
          </cell>
          <cell r="T56">
            <v>-11.675000000000001</v>
          </cell>
          <cell r="V56">
            <v>657.07500000000005</v>
          </cell>
          <cell r="W56">
            <v>660</v>
          </cell>
          <cell r="X56">
            <v>2.9249999999999545</v>
          </cell>
        </row>
        <row r="57">
          <cell r="A57" t="str">
            <v>Whanganui DHB</v>
          </cell>
          <cell r="B57">
            <v>75.6858</v>
          </cell>
          <cell r="C57">
            <v>78.90583333333332</v>
          </cell>
          <cell r="D57">
            <v>3.2200333333333191</v>
          </cell>
          <cell r="F57">
            <v>394.20420000000001</v>
          </cell>
          <cell r="G57">
            <v>394.53500000000003</v>
          </cell>
          <cell r="H57">
            <v>0.33080000000001064</v>
          </cell>
          <cell r="J57">
            <v>131.01830000000001</v>
          </cell>
          <cell r="K57">
            <v>136.73916666666668</v>
          </cell>
          <cell r="L57">
            <v>5.7208666666666659</v>
          </cell>
          <cell r="N57">
            <v>19.895800000000001</v>
          </cell>
          <cell r="O57">
            <v>11.416666666666664</v>
          </cell>
          <cell r="P57">
            <v>-8.479133333333337</v>
          </cell>
          <cell r="R57">
            <v>190.1808</v>
          </cell>
          <cell r="S57">
            <v>176.44416666666666</v>
          </cell>
          <cell r="T57">
            <v>-13.736633333333344</v>
          </cell>
          <cell r="V57">
            <v>810.98490000000004</v>
          </cell>
          <cell r="W57">
            <v>798.04083333333335</v>
          </cell>
          <cell r="X57">
            <v>-12.944066666666686</v>
          </cell>
        </row>
        <row r="58">
          <cell r="A58" t="str">
            <v>Medium</v>
          </cell>
        </row>
        <row r="59">
          <cell r="A59" t="str">
            <v>Bay of Plenty DHB</v>
          </cell>
          <cell r="B59">
            <v>252</v>
          </cell>
          <cell r="C59">
            <v>262</v>
          </cell>
          <cell r="D59">
            <v>10</v>
          </cell>
          <cell r="F59">
            <v>1009.8333</v>
          </cell>
          <cell r="G59">
            <v>924.08333333333337</v>
          </cell>
          <cell r="H59">
            <v>-85.749966666666637</v>
          </cell>
          <cell r="J59">
            <v>408.5</v>
          </cell>
          <cell r="K59">
            <v>443.08333333333331</v>
          </cell>
          <cell r="L59">
            <v>34.583333333333314</v>
          </cell>
          <cell r="N59">
            <v>146.58330000000001</v>
          </cell>
          <cell r="O59">
            <v>138.91666666666666</v>
          </cell>
          <cell r="P59">
            <v>-7.6666333333333512</v>
          </cell>
          <cell r="R59">
            <v>480</v>
          </cell>
          <cell r="S59">
            <v>504</v>
          </cell>
          <cell r="T59">
            <v>24</v>
          </cell>
          <cell r="V59">
            <v>2296.9166</v>
          </cell>
          <cell r="W59">
            <v>2272.0833333333335</v>
          </cell>
          <cell r="X59">
            <v>-24.833266666666532</v>
          </cell>
        </row>
        <row r="60">
          <cell r="A60" t="str">
            <v>Hawke's Bay DHB</v>
          </cell>
          <cell r="B60">
            <v>249.96639999999999</v>
          </cell>
          <cell r="C60">
            <v>242.33333333333334</v>
          </cell>
          <cell r="D60">
            <v>-7.6330666666666502</v>
          </cell>
          <cell r="F60">
            <v>842.71389999999997</v>
          </cell>
          <cell r="G60">
            <v>798.5</v>
          </cell>
          <cell r="H60">
            <v>-44.213899999999967</v>
          </cell>
          <cell r="J60">
            <v>385.41359999999997</v>
          </cell>
          <cell r="K60">
            <v>400.08333333333331</v>
          </cell>
          <cell r="L60">
            <v>14.66973333333334</v>
          </cell>
          <cell r="N60">
            <v>148.3426</v>
          </cell>
          <cell r="O60">
            <v>129.91666666666666</v>
          </cell>
          <cell r="P60">
            <v>-18.425933333333347</v>
          </cell>
          <cell r="R60">
            <v>408.40679999999998</v>
          </cell>
          <cell r="S60">
            <v>416.33333333333331</v>
          </cell>
          <cell r="T60">
            <v>7.9265333333333388</v>
          </cell>
          <cell r="V60">
            <v>2034.8432999999998</v>
          </cell>
          <cell r="W60">
            <v>1987.1666666666665</v>
          </cell>
          <cell r="X60">
            <v>-47.676633333333257</v>
          </cell>
        </row>
        <row r="61">
          <cell r="A61" t="str">
            <v>Hutt Valley DHB</v>
          </cell>
          <cell r="B61">
            <v>213.01830000000001</v>
          </cell>
          <cell r="C61">
            <v>208.41974166666668</v>
          </cell>
          <cell r="D61">
            <v>-4.5985583333333295</v>
          </cell>
          <cell r="F61">
            <v>713.02329999999995</v>
          </cell>
          <cell r="G61">
            <v>699.88980833333335</v>
          </cell>
          <cell r="H61">
            <v>-13.1334916666666</v>
          </cell>
          <cell r="J61">
            <v>391.65</v>
          </cell>
          <cell r="K61">
            <v>407.01974166666673</v>
          </cell>
          <cell r="L61">
            <v>15.369741666666755</v>
          </cell>
          <cell r="N61">
            <v>105.7392</v>
          </cell>
          <cell r="O61">
            <v>95.79</v>
          </cell>
          <cell r="P61">
            <v>-9.9491999999999905</v>
          </cell>
          <cell r="R61">
            <v>364.33499999999998</v>
          </cell>
          <cell r="S61">
            <v>352.85458333333332</v>
          </cell>
          <cell r="T61">
            <v>-11.480416666666656</v>
          </cell>
          <cell r="V61">
            <v>1787.7658000000001</v>
          </cell>
          <cell r="W61">
            <v>1763.9738750000001</v>
          </cell>
          <cell r="X61">
            <v>-23.791924999999992</v>
          </cell>
        </row>
        <row r="62">
          <cell r="A62" t="str">
            <v>Lakes DHB</v>
          </cell>
          <cell r="B62">
            <v>121.02249999999999</v>
          </cell>
          <cell r="C62">
            <v>131.85083333333333</v>
          </cell>
          <cell r="D62">
            <v>10.828333333333333</v>
          </cell>
          <cell r="F62">
            <v>477.19920000000002</v>
          </cell>
          <cell r="G62">
            <v>417.97</v>
          </cell>
          <cell r="H62">
            <v>-59.229199999999992</v>
          </cell>
          <cell r="J62">
            <v>166.52500000000001</v>
          </cell>
          <cell r="K62">
            <v>160.11666666666667</v>
          </cell>
          <cell r="L62">
            <v>-6.4083333333333314</v>
          </cell>
          <cell r="N62">
            <v>38.008299999999998</v>
          </cell>
          <cell r="O62">
            <v>38.220833333333324</v>
          </cell>
          <cell r="P62">
            <v>0.21253333333332591</v>
          </cell>
          <cell r="R62">
            <v>254.97579999999999</v>
          </cell>
          <cell r="S62">
            <v>248.01916666666668</v>
          </cell>
          <cell r="T62">
            <v>-6.9566333333333148</v>
          </cell>
          <cell r="V62">
            <v>1057.7308</v>
          </cell>
          <cell r="W62">
            <v>996.17750000000001</v>
          </cell>
          <cell r="X62">
            <v>-61.553300000000036</v>
          </cell>
        </row>
        <row r="63">
          <cell r="A63" t="str">
            <v>MidCentral DHB</v>
          </cell>
          <cell r="B63">
            <v>257.6508</v>
          </cell>
          <cell r="C63">
            <v>241</v>
          </cell>
          <cell r="D63">
            <v>-16.650800000000004</v>
          </cell>
          <cell r="F63">
            <v>936.12080000000003</v>
          </cell>
          <cell r="G63">
            <v>916</v>
          </cell>
          <cell r="H63">
            <v>-20.120800000000031</v>
          </cell>
          <cell r="J63">
            <v>352.47750000000002</v>
          </cell>
          <cell r="K63">
            <v>364</v>
          </cell>
          <cell r="L63">
            <v>11.522500000000001</v>
          </cell>
          <cell r="N63">
            <v>42.118299999999998</v>
          </cell>
          <cell r="O63">
            <v>45</v>
          </cell>
          <cell r="P63">
            <v>2.8817000000000021</v>
          </cell>
          <cell r="R63">
            <v>536.78830000000005</v>
          </cell>
          <cell r="S63">
            <v>539.1</v>
          </cell>
          <cell r="T63">
            <v>2.3116999999999734</v>
          </cell>
          <cell r="V63">
            <v>2125.1557000000003</v>
          </cell>
          <cell r="W63">
            <v>2105.1</v>
          </cell>
          <cell r="X63">
            <v>-20.055700000000343</v>
          </cell>
        </row>
        <row r="64">
          <cell r="A64" t="str">
            <v>Nelson Marlborough DHB</v>
          </cell>
          <cell r="B64">
            <v>144.19749999999999</v>
          </cell>
          <cell r="C64">
            <v>138.16666666666666</v>
          </cell>
          <cell r="D64">
            <v>-6.0308333333333337</v>
          </cell>
          <cell r="F64">
            <v>643.5</v>
          </cell>
          <cell r="G64">
            <v>641.16666666666663</v>
          </cell>
          <cell r="H64">
            <v>-2.3333333333333712</v>
          </cell>
          <cell r="J64">
            <v>572.33330000000001</v>
          </cell>
          <cell r="K64">
            <v>562.66478333333328</v>
          </cell>
          <cell r="L64">
            <v>-9.6685166666667328</v>
          </cell>
          <cell r="N64">
            <v>107.91670000000001</v>
          </cell>
          <cell r="O64">
            <v>105.99741666666667</v>
          </cell>
          <cell r="P64">
            <v>-1.9192833333333397</v>
          </cell>
          <cell r="R64">
            <v>367.82499999999999</v>
          </cell>
          <cell r="S64">
            <v>356.31340833333326</v>
          </cell>
          <cell r="T64">
            <v>-11.511591666666732</v>
          </cell>
          <cell r="V64">
            <v>1835.7725</v>
          </cell>
          <cell r="W64">
            <v>1804.3089416666664</v>
          </cell>
          <cell r="X64">
            <v>-31.463558333333594</v>
          </cell>
        </row>
        <row r="65">
          <cell r="A65" t="str">
            <v>Northland DHB</v>
          </cell>
          <cell r="B65">
            <v>188.79920000000001</v>
          </cell>
          <cell r="C65">
            <v>220.16699999999994</v>
          </cell>
          <cell r="D65">
            <v>31.367799999999932</v>
          </cell>
          <cell r="F65">
            <v>848.11829999999998</v>
          </cell>
          <cell r="G65">
            <v>859.77</v>
          </cell>
          <cell r="H65">
            <v>11.651700000000005</v>
          </cell>
          <cell r="J65">
            <v>405.41829999999999</v>
          </cell>
          <cell r="K65">
            <v>421.94</v>
          </cell>
          <cell r="L65">
            <v>16.52170000000001</v>
          </cell>
          <cell r="N65">
            <v>82.490799999999993</v>
          </cell>
          <cell r="O65">
            <v>88.77</v>
          </cell>
          <cell r="P65">
            <v>6.279200000000003</v>
          </cell>
          <cell r="R65">
            <v>409.60829999999999</v>
          </cell>
          <cell r="S65">
            <v>419.31</v>
          </cell>
          <cell r="T65">
            <v>9.7017000000000166</v>
          </cell>
          <cell r="V65">
            <v>1934.4349000000002</v>
          </cell>
          <cell r="W65">
            <v>2009.9569999999999</v>
          </cell>
          <cell r="X65">
            <v>75.522099999999682</v>
          </cell>
        </row>
        <row r="66">
          <cell r="A66" t="str">
            <v>Southland DHB</v>
          </cell>
          <cell r="B66">
            <v>107.2</v>
          </cell>
          <cell r="C66">
            <v>103.505</v>
          </cell>
          <cell r="D66">
            <v>-3.6950000000000074</v>
          </cell>
          <cell r="F66">
            <v>475.22829999999999</v>
          </cell>
          <cell r="G66">
            <v>459.75</v>
          </cell>
          <cell r="H66">
            <v>-15.47829999999999</v>
          </cell>
          <cell r="J66">
            <v>180.70580000000001</v>
          </cell>
          <cell r="K66">
            <v>181.33333333333334</v>
          </cell>
          <cell r="L66">
            <v>0.62753333333333217</v>
          </cell>
          <cell r="N66">
            <v>13.9275</v>
          </cell>
          <cell r="O66">
            <v>14</v>
          </cell>
          <cell r="P66">
            <v>7.2499999999999787E-2</v>
          </cell>
          <cell r="R66">
            <v>232.60249999999999</v>
          </cell>
          <cell r="S66">
            <v>235</v>
          </cell>
          <cell r="T66">
            <v>2.397500000000008</v>
          </cell>
          <cell r="V66">
            <v>1009.6641</v>
          </cell>
          <cell r="W66">
            <v>993.58833333333337</v>
          </cell>
          <cell r="X66">
            <v>-16.075766666666595</v>
          </cell>
        </row>
        <row r="67">
          <cell r="A67" t="str">
            <v>Taranaki DHB</v>
          </cell>
          <cell r="B67">
            <v>130.32749999999999</v>
          </cell>
          <cell r="C67">
            <v>137</v>
          </cell>
          <cell r="D67">
            <v>6.6725000000000136</v>
          </cell>
          <cell r="F67">
            <v>542.68330000000003</v>
          </cell>
          <cell r="G67">
            <v>517</v>
          </cell>
          <cell r="H67">
            <v>-25.683300000000031</v>
          </cell>
          <cell r="J67">
            <v>252.95249999999999</v>
          </cell>
          <cell r="K67">
            <v>266</v>
          </cell>
          <cell r="L67">
            <v>13.047499999999999</v>
          </cell>
          <cell r="N67">
            <v>93.015799999999999</v>
          </cell>
          <cell r="O67">
            <v>88</v>
          </cell>
          <cell r="P67">
            <v>-5.0157999999999987</v>
          </cell>
          <cell r="R67">
            <v>247.935</v>
          </cell>
          <cell r="S67">
            <v>256</v>
          </cell>
          <cell r="T67">
            <v>8.0649999999999995</v>
          </cell>
          <cell r="V67">
            <v>1266.9141</v>
          </cell>
          <cell r="W67">
            <v>1264</v>
          </cell>
          <cell r="X67">
            <v>-2.9140999999999622</v>
          </cell>
        </row>
        <row r="68">
          <cell r="A68" t="str">
            <v>Large</v>
          </cell>
        </row>
        <row r="69">
          <cell r="A69" t="str">
            <v>Auckland DHB</v>
          </cell>
          <cell r="B69">
            <v>1291.0999999999999</v>
          </cell>
          <cell r="C69">
            <v>1310.5550000000001</v>
          </cell>
          <cell r="D69">
            <v>19.455000000000155</v>
          </cell>
          <cell r="F69">
            <v>3150.57</v>
          </cell>
          <cell r="G69">
            <v>3113.08</v>
          </cell>
          <cell r="H69">
            <v>-37.490000000000236</v>
          </cell>
          <cell r="J69">
            <v>1673.1675</v>
          </cell>
          <cell r="K69">
            <v>1759.6740166666671</v>
          </cell>
          <cell r="L69">
            <v>86.506516666667039</v>
          </cell>
          <cell r="N69">
            <v>200.61420000000001</v>
          </cell>
          <cell r="O69">
            <v>235.64919166666667</v>
          </cell>
          <cell r="P69">
            <v>35.034991666666656</v>
          </cell>
          <cell r="R69">
            <v>1353.78</v>
          </cell>
          <cell r="S69">
            <v>1519.595</v>
          </cell>
          <cell r="T69">
            <v>165.815</v>
          </cell>
          <cell r="V69">
            <v>7669.2316999999994</v>
          </cell>
          <cell r="W69">
            <v>7938.5532083333337</v>
          </cell>
          <cell r="X69">
            <v>269.32150833333435</v>
          </cell>
        </row>
        <row r="70">
          <cell r="A70" t="str">
            <v>Canterbury DHB</v>
          </cell>
          <cell r="B70">
            <v>777.82830000000001</v>
          </cell>
          <cell r="C70">
            <v>750</v>
          </cell>
          <cell r="D70">
            <v>-27.828300000000013</v>
          </cell>
          <cell r="F70">
            <v>3134.9450000000002</v>
          </cell>
          <cell r="G70">
            <v>3070.5881999999997</v>
          </cell>
          <cell r="H70">
            <v>-64.356800000000476</v>
          </cell>
          <cell r="J70">
            <v>1312.66</v>
          </cell>
          <cell r="K70">
            <v>1305</v>
          </cell>
          <cell r="L70">
            <v>-7.6600000000000819</v>
          </cell>
          <cell r="N70">
            <v>316.27749999999997</v>
          </cell>
          <cell r="O70">
            <v>320</v>
          </cell>
          <cell r="P70">
            <v>3.722500000000025</v>
          </cell>
          <cell r="R70">
            <v>1135.4541999999999</v>
          </cell>
          <cell r="S70">
            <v>1090</v>
          </cell>
          <cell r="T70">
            <v>-45.454199999999901</v>
          </cell>
          <cell r="V70">
            <v>6677.1650000000009</v>
          </cell>
          <cell r="W70">
            <v>6535.5882000000001</v>
          </cell>
          <cell r="X70">
            <v>-141.57680000000073</v>
          </cell>
        </row>
        <row r="71">
          <cell r="A71" t="str">
            <v>Capital &amp; Coast DHB</v>
          </cell>
          <cell r="B71">
            <v>649.6078</v>
          </cell>
          <cell r="C71">
            <v>649.16238333333342</v>
          </cell>
          <cell r="D71">
            <v>-0.4454166666665742</v>
          </cell>
          <cell r="F71">
            <v>1851.7063000000001</v>
          </cell>
          <cell r="G71">
            <v>1756.3421333333333</v>
          </cell>
          <cell r="H71">
            <v>-95.364166666666733</v>
          </cell>
          <cell r="J71">
            <v>644.65719999999999</v>
          </cell>
          <cell r="K71">
            <v>674.41590833333328</v>
          </cell>
          <cell r="L71">
            <v>29.758708333333288</v>
          </cell>
          <cell r="N71">
            <v>166.31700000000001</v>
          </cell>
          <cell r="O71">
            <v>169.39865833333332</v>
          </cell>
          <cell r="P71">
            <v>3.0816583333333085</v>
          </cell>
          <cell r="R71">
            <v>773.59109999999998</v>
          </cell>
          <cell r="S71">
            <v>773.93574166666679</v>
          </cell>
          <cell r="T71">
            <v>0.34464166666680285</v>
          </cell>
          <cell r="V71">
            <v>4085.8794000000003</v>
          </cell>
          <cell r="W71">
            <v>4023.2548250000004</v>
          </cell>
          <cell r="X71">
            <v>-62.624574999999822</v>
          </cell>
        </row>
        <row r="72">
          <cell r="A72" t="str">
            <v>Counties Manukau DHB</v>
          </cell>
          <cell r="B72">
            <v>742.75</v>
          </cell>
          <cell r="C72">
            <v>741.3</v>
          </cell>
          <cell r="D72">
            <v>-1.4500000000000455</v>
          </cell>
          <cell r="F72">
            <v>2256.3332999999998</v>
          </cell>
          <cell r="G72">
            <v>2117.9166666666665</v>
          </cell>
          <cell r="H72">
            <v>-138.41663333333327</v>
          </cell>
          <cell r="J72">
            <v>813.16669999999999</v>
          </cell>
          <cell r="K72">
            <v>840</v>
          </cell>
          <cell r="L72">
            <v>26.833300000000008</v>
          </cell>
          <cell r="N72">
            <v>266.25</v>
          </cell>
          <cell r="O72">
            <v>129</v>
          </cell>
          <cell r="P72">
            <v>-137.25</v>
          </cell>
          <cell r="R72">
            <v>770.75</v>
          </cell>
          <cell r="S72">
            <v>747.9</v>
          </cell>
          <cell r="T72">
            <v>-22.85</v>
          </cell>
          <cell r="V72">
            <v>4849.25</v>
          </cell>
          <cell r="W72">
            <v>4576.1166666666659</v>
          </cell>
          <cell r="X72">
            <v>-273.13333333333412</v>
          </cell>
        </row>
        <row r="73">
          <cell r="A73" t="str">
            <v>Otago DHB</v>
          </cell>
          <cell r="B73">
            <v>312.45580000000001</v>
          </cell>
          <cell r="C73">
            <v>319.9041666666667</v>
          </cell>
          <cell r="D73">
            <v>7.4483666666666863</v>
          </cell>
          <cell r="F73">
            <v>1008.96</v>
          </cell>
          <cell r="G73">
            <v>1034.1616666666666</v>
          </cell>
          <cell r="H73">
            <v>25.201666666666597</v>
          </cell>
          <cell r="J73">
            <v>470.61750000000001</v>
          </cell>
          <cell r="K73">
            <v>472.54333333333335</v>
          </cell>
          <cell r="L73">
            <v>1.9258333333333439</v>
          </cell>
          <cell r="N73">
            <v>141.41579999999999</v>
          </cell>
          <cell r="O73">
            <v>135.46</v>
          </cell>
          <cell r="P73">
            <v>-5.9557999999999822</v>
          </cell>
          <cell r="R73">
            <v>464.39499999999998</v>
          </cell>
          <cell r="S73">
            <v>469.45833333333331</v>
          </cell>
          <cell r="T73">
            <v>5.0633333333333326</v>
          </cell>
          <cell r="V73">
            <v>2397.8441000000003</v>
          </cell>
          <cell r="W73">
            <v>2431.5275000000001</v>
          </cell>
          <cell r="X73">
            <v>33.683399999999892</v>
          </cell>
        </row>
        <row r="74">
          <cell r="A74" t="str">
            <v>Waikato DHB</v>
          </cell>
          <cell r="B74">
            <v>583.60919999999999</v>
          </cell>
          <cell r="C74">
            <v>573.66833333333341</v>
          </cell>
          <cell r="D74">
            <v>-9.9408666666665795</v>
          </cell>
          <cell r="F74">
            <v>2000.6832999999999</v>
          </cell>
          <cell r="G74">
            <v>1900.5733333333328</v>
          </cell>
          <cell r="H74">
            <v>-100.10996666666711</v>
          </cell>
          <cell r="J74">
            <v>828.28420000000006</v>
          </cell>
          <cell r="K74">
            <v>851.41833333333352</v>
          </cell>
          <cell r="L74">
            <v>23.134133333333466</v>
          </cell>
          <cell r="N74">
            <v>315.18169999999998</v>
          </cell>
          <cell r="O74">
            <v>316.1608333333333</v>
          </cell>
          <cell r="P74">
            <v>0.97913333333332275</v>
          </cell>
          <cell r="R74">
            <v>1031.1758</v>
          </cell>
          <cell r="S74">
            <v>1054.3016666666667</v>
          </cell>
          <cell r="T74">
            <v>23.125866666666752</v>
          </cell>
          <cell r="V74">
            <v>4758.9341999999997</v>
          </cell>
          <cell r="W74">
            <v>4696.1224999999995</v>
          </cell>
          <cell r="X74">
            <v>-62.811700000000201</v>
          </cell>
        </row>
        <row r="75">
          <cell r="A75" t="str">
            <v>Waitemata DHB</v>
          </cell>
          <cell r="B75">
            <v>649.91669999999999</v>
          </cell>
          <cell r="C75">
            <v>749.08333333333337</v>
          </cell>
          <cell r="D75">
            <v>99.16663333333338</v>
          </cell>
          <cell r="F75">
            <v>2327.5832999999998</v>
          </cell>
          <cell r="G75">
            <v>2264.4166666666665</v>
          </cell>
          <cell r="H75">
            <v>-63.166633333333266</v>
          </cell>
          <cell r="J75">
            <v>1218.25</v>
          </cell>
          <cell r="K75">
            <v>1222.6666666666667</v>
          </cell>
          <cell r="L75">
            <v>4.4166666666667425</v>
          </cell>
          <cell r="N75">
            <v>115.83329999999999</v>
          </cell>
          <cell r="O75">
            <v>118.75</v>
          </cell>
          <cell r="P75">
            <v>2.9167000000000058</v>
          </cell>
          <cell r="R75">
            <v>810.16669999999999</v>
          </cell>
          <cell r="S75">
            <v>791.83333333333337</v>
          </cell>
          <cell r="T75">
            <v>-18.33336666666662</v>
          </cell>
          <cell r="V75">
            <v>5121.75</v>
          </cell>
          <cell r="W75">
            <v>5146.75</v>
          </cell>
          <cell r="X75">
            <v>25</v>
          </cell>
        </row>
        <row r="76">
          <cell r="A76" t="str">
            <v>TOTAL</v>
          </cell>
          <cell r="B76">
            <v>6909.5474999999997</v>
          </cell>
          <cell r="C76">
            <v>7041.8549583333324</v>
          </cell>
          <cell r="D76">
            <v>132.30745833333276</v>
          </cell>
          <cell r="F76">
            <v>23629.423999999995</v>
          </cell>
          <cell r="G76">
            <v>22847.576808333335</v>
          </cell>
          <cell r="H76">
            <v>-781.84719166666036</v>
          </cell>
          <cell r="J76">
            <v>10705.8516</v>
          </cell>
          <cell r="K76">
            <v>10989.615283333333</v>
          </cell>
          <cell r="L76">
            <v>283.76368333333266</v>
          </cell>
          <cell r="N76">
            <v>2451.7994999999996</v>
          </cell>
          <cell r="O76">
            <v>2302.0302666666666</v>
          </cell>
          <cell r="P76">
            <v>-149.76923333333298</v>
          </cell>
          <cell r="R76">
            <v>10352.369499999999</v>
          </cell>
          <cell r="S76">
            <v>10438.815399999999</v>
          </cell>
          <cell r="T76">
            <v>86.44590000000062</v>
          </cell>
          <cell r="V76">
            <v>54048.992100000003</v>
          </cell>
          <cell r="W76">
            <v>53619.892716666669</v>
          </cell>
          <cell r="X76">
            <v>-429.09938333333412</v>
          </cell>
        </row>
        <row r="96">
          <cell r="A96" t="str">
            <v>South Canterbury DHB</v>
          </cell>
          <cell r="B96">
            <v>44.25</v>
          </cell>
          <cell r="C96">
            <v>50</v>
          </cell>
          <cell r="D96">
            <v>5.75</v>
          </cell>
          <cell r="F96">
            <v>310.41669999999999</v>
          </cell>
          <cell r="G96">
            <v>296.08333333333331</v>
          </cell>
          <cell r="H96">
            <v>-14.333366666666677</v>
          </cell>
          <cell r="J96">
            <v>91.416700000000006</v>
          </cell>
          <cell r="K96">
            <v>100.91666666666667</v>
          </cell>
          <cell r="L96">
            <v>9.4999666666666656</v>
          </cell>
          <cell r="N96">
            <v>60.833300000000001</v>
          </cell>
          <cell r="O96">
            <v>56</v>
          </cell>
          <cell r="P96">
            <v>-4.8333000000000013</v>
          </cell>
          <cell r="R96">
            <v>121.33329999999999</v>
          </cell>
          <cell r="S96">
            <v>126</v>
          </cell>
          <cell r="T96">
            <v>4.6667000000000058</v>
          </cell>
          <cell r="V96">
            <v>628.25</v>
          </cell>
          <cell r="W96">
            <v>629</v>
          </cell>
          <cell r="X96">
            <v>0.75</v>
          </cell>
        </row>
        <row r="97">
          <cell r="A97" t="str">
            <v>Tairawhiti DHB</v>
          </cell>
          <cell r="B97">
            <v>69.438299999999998</v>
          </cell>
          <cell r="C97">
            <v>60</v>
          </cell>
          <cell r="D97">
            <v>-9.4382999999999981</v>
          </cell>
          <cell r="F97">
            <v>249.51669999999999</v>
          </cell>
          <cell r="G97">
            <v>247</v>
          </cell>
          <cell r="H97">
            <v>-2.5166999999999859</v>
          </cell>
          <cell r="J97">
            <v>149.88079999999999</v>
          </cell>
          <cell r="K97">
            <v>145</v>
          </cell>
          <cell r="L97">
            <v>-4.8807999999999936</v>
          </cell>
          <cell r="N97">
            <v>17.583300000000001</v>
          </cell>
          <cell r="O97">
            <v>17.3</v>
          </cell>
          <cell r="P97">
            <v>-0.28330000000000055</v>
          </cell>
          <cell r="R97">
            <v>135.73920000000001</v>
          </cell>
          <cell r="S97">
            <v>143</v>
          </cell>
          <cell r="T97">
            <v>7.260799999999989</v>
          </cell>
          <cell r="V97">
            <v>622.15829999999994</v>
          </cell>
          <cell r="W97">
            <v>612.29999999999995</v>
          </cell>
          <cell r="X97">
            <v>-9.8582999999999856</v>
          </cell>
        </row>
        <row r="98">
          <cell r="A98" t="str">
            <v>Wairarapa DHB</v>
          </cell>
          <cell r="B98">
            <v>32.816699999999997</v>
          </cell>
          <cell r="C98">
            <v>34.200000000000003</v>
          </cell>
          <cell r="D98">
            <v>1.3833000000000055</v>
          </cell>
          <cell r="F98">
            <v>190.64169999999999</v>
          </cell>
          <cell r="G98">
            <v>181.1</v>
          </cell>
          <cell r="H98">
            <v>-9.5416999999999916</v>
          </cell>
          <cell r="J98">
            <v>89.075000000000003</v>
          </cell>
          <cell r="K98">
            <v>90.9</v>
          </cell>
          <cell r="L98">
            <v>1.825</v>
          </cell>
          <cell r="N98">
            <v>11.6775</v>
          </cell>
          <cell r="O98">
            <v>11</v>
          </cell>
          <cell r="P98">
            <v>-0.67749999999999999</v>
          </cell>
          <cell r="R98">
            <v>112.9217</v>
          </cell>
          <cell r="S98">
            <v>112.5</v>
          </cell>
          <cell r="T98">
            <v>-0.4217000000000013</v>
          </cell>
          <cell r="V98">
            <v>437.13259999999997</v>
          </cell>
          <cell r="W98">
            <v>429.7</v>
          </cell>
          <cell r="X98">
            <v>-7.4325999999999226</v>
          </cell>
        </row>
        <row r="99">
          <cell r="A99" t="str">
            <v>West Coast DHB</v>
          </cell>
          <cell r="B99">
            <v>36.878300000000003</v>
          </cell>
          <cell r="C99">
            <v>38.926666666666662</v>
          </cell>
          <cell r="D99">
            <v>2.0483666666666593</v>
          </cell>
          <cell r="F99">
            <v>302.8442</v>
          </cell>
          <cell r="G99">
            <v>291.52999999999997</v>
          </cell>
          <cell r="H99">
            <v>-11.314200000000028</v>
          </cell>
          <cell r="J99">
            <v>163.9</v>
          </cell>
          <cell r="K99">
            <v>186.57</v>
          </cell>
          <cell r="L99">
            <v>22.67</v>
          </cell>
          <cell r="N99">
            <v>46.805</v>
          </cell>
          <cell r="O99">
            <v>41.18</v>
          </cell>
          <cell r="P99">
            <v>-5.625</v>
          </cell>
          <cell r="R99">
            <v>136.42670000000001</v>
          </cell>
          <cell r="S99">
            <v>142.15</v>
          </cell>
          <cell r="T99">
            <v>5.7232999999999947</v>
          </cell>
          <cell r="V99">
            <v>686.85419999999999</v>
          </cell>
          <cell r="W99">
            <v>700.35666666666657</v>
          </cell>
          <cell r="X99">
            <v>13.502466666666578</v>
          </cell>
        </row>
        <row r="100">
          <cell r="A100" t="str">
            <v>Whanganui DHB</v>
          </cell>
          <cell r="B100">
            <v>79.965000000000003</v>
          </cell>
          <cell r="C100">
            <v>81.173333333333346</v>
          </cell>
          <cell r="D100">
            <v>1.2083333333333428</v>
          </cell>
          <cell r="F100">
            <v>388.50080000000003</v>
          </cell>
          <cell r="G100">
            <v>395.34333333333331</v>
          </cell>
          <cell r="H100">
            <v>6.8425333333332787</v>
          </cell>
          <cell r="J100">
            <v>136.26079999999999</v>
          </cell>
          <cell r="K100">
            <v>147.08250000000001</v>
          </cell>
          <cell r="L100">
            <v>10.821700000000021</v>
          </cell>
          <cell r="N100">
            <v>18.9392</v>
          </cell>
          <cell r="O100">
            <v>18.640833333333333</v>
          </cell>
          <cell r="P100">
            <v>-0.29836666666666645</v>
          </cell>
          <cell r="R100">
            <v>184.6942</v>
          </cell>
          <cell r="S100">
            <v>184.39833333333331</v>
          </cell>
          <cell r="T100">
            <v>-0.29586666666668293</v>
          </cell>
          <cell r="V100">
            <v>808.36</v>
          </cell>
          <cell r="W100">
            <v>826.63833333333332</v>
          </cell>
          <cell r="X100">
            <v>18.278333333333194</v>
          </cell>
        </row>
        <row r="101">
          <cell r="A101" t="str">
            <v>Medium</v>
          </cell>
        </row>
        <row r="102">
          <cell r="A102" t="str">
            <v>Bay of Plenty DHB</v>
          </cell>
          <cell r="B102">
            <v>264</v>
          </cell>
          <cell r="C102">
            <v>265</v>
          </cell>
          <cell r="D102">
            <v>1</v>
          </cell>
          <cell r="F102">
            <v>1094.25</v>
          </cell>
          <cell r="G102">
            <v>996</v>
          </cell>
          <cell r="H102">
            <v>-98.25</v>
          </cell>
          <cell r="J102">
            <v>431</v>
          </cell>
          <cell r="K102">
            <v>443.91666666666669</v>
          </cell>
          <cell r="L102">
            <v>12.916666666666686</v>
          </cell>
          <cell r="N102">
            <v>147.91669999999999</v>
          </cell>
          <cell r="O102">
            <v>145.16666666666666</v>
          </cell>
          <cell r="P102">
            <v>-2.7500333333333344</v>
          </cell>
          <cell r="R102">
            <v>468.66669999999999</v>
          </cell>
          <cell r="S102">
            <v>490.25</v>
          </cell>
          <cell r="T102">
            <v>21.583300000000008</v>
          </cell>
          <cell r="V102">
            <v>2405.8334</v>
          </cell>
          <cell r="W102">
            <v>2340.3333333333335</v>
          </cell>
          <cell r="X102">
            <v>-65.500066666666498</v>
          </cell>
        </row>
        <row r="103">
          <cell r="A103" t="str">
            <v>Hawke's Bay DHB</v>
          </cell>
          <cell r="B103">
            <v>263.05419999999998</v>
          </cell>
          <cell r="C103">
            <v>243.25173333333336</v>
          </cell>
          <cell r="D103">
            <v>-19.802466666666618</v>
          </cell>
          <cell r="F103">
            <v>832.98</v>
          </cell>
          <cell r="G103">
            <v>799.92324166666674</v>
          </cell>
          <cell r="H103">
            <v>-33.056758333333278</v>
          </cell>
          <cell r="J103">
            <v>396.685</v>
          </cell>
          <cell r="K103">
            <v>399.66567499999996</v>
          </cell>
          <cell r="L103">
            <v>2.9806749999999624</v>
          </cell>
          <cell r="N103">
            <v>148.255</v>
          </cell>
          <cell r="O103">
            <v>146.47446666666664</v>
          </cell>
          <cell r="P103">
            <v>-1.7805333333333522</v>
          </cell>
          <cell r="R103">
            <v>407.85669999999999</v>
          </cell>
          <cell r="S103">
            <v>400.91758333333331</v>
          </cell>
          <cell r="T103">
            <v>-6.9391166666666777</v>
          </cell>
          <cell r="V103">
            <v>2048.8308999999999</v>
          </cell>
          <cell r="W103">
            <v>1990.2327</v>
          </cell>
          <cell r="X103">
            <v>-58.598199999999906</v>
          </cell>
        </row>
        <row r="104">
          <cell r="A104" t="str">
            <v>Hutt Valley DHB</v>
          </cell>
          <cell r="B104">
            <v>216.55</v>
          </cell>
          <cell r="C104">
            <v>217.02500000000001</v>
          </cell>
          <cell r="D104">
            <v>0.47499999999999432</v>
          </cell>
          <cell r="F104">
            <v>684.99170000000004</v>
          </cell>
          <cell r="G104">
            <v>723.08333333333337</v>
          </cell>
          <cell r="H104">
            <v>38.091633333333334</v>
          </cell>
          <cell r="J104">
            <v>382.5308</v>
          </cell>
          <cell r="K104">
            <v>421.16666666666669</v>
          </cell>
          <cell r="L104">
            <v>38.635866666666686</v>
          </cell>
          <cell r="N104">
            <v>125.2058</v>
          </cell>
          <cell r="O104">
            <v>122.08333333333333</v>
          </cell>
          <cell r="P104">
            <v>-3.1224666666666678</v>
          </cell>
          <cell r="R104">
            <v>363.98</v>
          </cell>
          <cell r="S104">
            <v>391.97666666666669</v>
          </cell>
          <cell r="T104">
            <v>27.99666666666667</v>
          </cell>
          <cell r="V104">
            <v>1773.2583</v>
          </cell>
          <cell r="W104">
            <v>1875.335</v>
          </cell>
          <cell r="X104">
            <v>102.07670000000007</v>
          </cell>
        </row>
        <row r="105">
          <cell r="A105" t="str">
            <v>Lakes DHB</v>
          </cell>
          <cell r="B105">
            <v>130.33330000000001</v>
          </cell>
          <cell r="C105">
            <v>142.30166666666668</v>
          </cell>
          <cell r="D105">
            <v>11.968366666666668</v>
          </cell>
          <cell r="F105">
            <v>476.41669999999999</v>
          </cell>
          <cell r="G105">
            <v>464.54250000000002</v>
          </cell>
          <cell r="H105">
            <v>-11.874199999999973</v>
          </cell>
          <cell r="J105">
            <v>172.83330000000001</v>
          </cell>
          <cell r="K105">
            <v>177.27333333333334</v>
          </cell>
          <cell r="L105">
            <v>4.4400333333333322</v>
          </cell>
          <cell r="N105">
            <v>58.666699999999999</v>
          </cell>
          <cell r="O105">
            <v>30.274999999999999</v>
          </cell>
          <cell r="P105">
            <v>-28.3917</v>
          </cell>
          <cell r="R105">
            <v>248.33330000000001</v>
          </cell>
          <cell r="S105">
            <v>255.01166666666666</v>
          </cell>
          <cell r="T105">
            <v>6.6783666666666477</v>
          </cell>
          <cell r="V105">
            <v>1086.5833</v>
          </cell>
          <cell r="W105">
            <v>1069.4041666666667</v>
          </cell>
          <cell r="X105">
            <v>-17.179133333333311</v>
          </cell>
        </row>
        <row r="106">
          <cell r="A106" t="str">
            <v>MidCentral DHB</v>
          </cell>
          <cell r="B106">
            <v>264.41250000000002</v>
          </cell>
          <cell r="C106">
            <v>278.745475</v>
          </cell>
          <cell r="D106">
            <v>14.332974999999976</v>
          </cell>
          <cell r="F106">
            <v>957.58330000000001</v>
          </cell>
          <cell r="G106">
            <v>900.65277500000013</v>
          </cell>
          <cell r="H106">
            <v>-56.930524999999875</v>
          </cell>
          <cell r="J106">
            <v>374.52420000000001</v>
          </cell>
          <cell r="K106">
            <v>362.92910000000001</v>
          </cell>
          <cell r="L106">
            <v>-11.595100000000002</v>
          </cell>
          <cell r="N106">
            <v>43.925800000000002</v>
          </cell>
          <cell r="O106">
            <v>45.237124999999999</v>
          </cell>
          <cell r="P106">
            <v>1.3113249999999965</v>
          </cell>
          <cell r="R106">
            <v>470.46499999999997</v>
          </cell>
          <cell r="S106">
            <v>515.84989166666662</v>
          </cell>
          <cell r="T106">
            <v>45.384891666666647</v>
          </cell>
          <cell r="V106">
            <v>2110.9108000000001</v>
          </cell>
          <cell r="W106">
            <v>2103.4143666666669</v>
          </cell>
          <cell r="X106">
            <v>-7.4964333333332434</v>
          </cell>
        </row>
        <row r="107">
          <cell r="A107" t="str">
            <v>Nelson Marlborough DHB</v>
          </cell>
          <cell r="B107">
            <v>163.38059999999999</v>
          </cell>
          <cell r="C107">
            <v>154.13499999999999</v>
          </cell>
          <cell r="D107">
            <v>-9.245599999999996</v>
          </cell>
          <cell r="F107">
            <v>649.98979999999995</v>
          </cell>
          <cell r="G107">
            <v>644.00083333333339</v>
          </cell>
          <cell r="H107">
            <v>-5.9889666666665562</v>
          </cell>
          <cell r="J107">
            <v>553.32330000000002</v>
          </cell>
          <cell r="K107">
            <v>556.37416666666672</v>
          </cell>
          <cell r="L107">
            <v>3.0508666666667068</v>
          </cell>
          <cell r="N107">
            <v>97.985900000000001</v>
          </cell>
          <cell r="O107">
            <v>100.55333333333333</v>
          </cell>
          <cell r="P107">
            <v>2.5674333333333266</v>
          </cell>
          <cell r="R107">
            <v>360.5505</v>
          </cell>
          <cell r="S107">
            <v>365.69916666666671</v>
          </cell>
          <cell r="T107">
            <v>5.1486666666667134</v>
          </cell>
          <cell r="V107">
            <v>1825.2300999999998</v>
          </cell>
          <cell r="W107">
            <v>1820.7625000000003</v>
          </cell>
          <cell r="X107">
            <v>-4.4675999999994929</v>
          </cell>
        </row>
        <row r="108">
          <cell r="A108" t="str">
            <v>Northland DHB</v>
          </cell>
          <cell r="B108">
            <v>198.6602</v>
          </cell>
          <cell r="C108">
            <v>215.59937500000001</v>
          </cell>
          <cell r="D108">
            <v>16.939175000000006</v>
          </cell>
          <cell r="F108">
            <v>888.41589999999997</v>
          </cell>
          <cell r="G108">
            <v>871.09739999999999</v>
          </cell>
          <cell r="H108">
            <v>-17.318499999999972</v>
          </cell>
          <cell r="J108">
            <v>443.46319999999997</v>
          </cell>
          <cell r="K108">
            <v>427.76909166666672</v>
          </cell>
          <cell r="L108">
            <v>-15.694108333333247</v>
          </cell>
          <cell r="N108">
            <v>83.568700000000007</v>
          </cell>
          <cell r="O108">
            <v>89.513533333333342</v>
          </cell>
          <cell r="P108">
            <v>5.9448333333333352</v>
          </cell>
          <cell r="R108">
            <v>413.29719999999998</v>
          </cell>
          <cell r="S108">
            <v>426.64629166666668</v>
          </cell>
          <cell r="T108">
            <v>13.349091666666709</v>
          </cell>
          <cell r="V108">
            <v>2027.4051999999999</v>
          </cell>
          <cell r="W108">
            <v>2030.6256916666666</v>
          </cell>
          <cell r="X108">
            <v>3.2204916666667032</v>
          </cell>
        </row>
        <row r="109">
          <cell r="A109" t="str">
            <v>Taranaki DHB</v>
          </cell>
          <cell r="B109">
            <v>135.95580000000001</v>
          </cell>
          <cell r="C109">
            <v>144</v>
          </cell>
          <cell r="D109">
            <v>8.0441999999999894</v>
          </cell>
          <cell r="F109">
            <v>547.24419999999998</v>
          </cell>
          <cell r="G109">
            <v>514.00001666666674</v>
          </cell>
          <cell r="H109">
            <v>-33.24418333333324</v>
          </cell>
          <cell r="J109">
            <v>252.4442</v>
          </cell>
          <cell r="K109">
            <v>260</v>
          </cell>
          <cell r="L109">
            <v>7.555800000000005</v>
          </cell>
          <cell r="N109">
            <v>91.480800000000002</v>
          </cell>
          <cell r="O109">
            <v>90.999991666666673</v>
          </cell>
          <cell r="P109">
            <v>-0.48080833333332862</v>
          </cell>
          <cell r="R109">
            <v>240.3442</v>
          </cell>
          <cell r="S109">
            <v>271</v>
          </cell>
          <cell r="T109">
            <v>30.655799999999999</v>
          </cell>
          <cell r="V109">
            <v>1267.4692</v>
          </cell>
          <cell r="W109">
            <v>1280.0000083333334</v>
          </cell>
          <cell r="X109">
            <v>12.530808333333425</v>
          </cell>
        </row>
        <row r="110">
          <cell r="A110" t="str">
            <v>Large</v>
          </cell>
        </row>
        <row r="111">
          <cell r="A111" t="str">
            <v>Auckland DHB</v>
          </cell>
          <cell r="B111">
            <v>1299.925</v>
          </cell>
          <cell r="C111">
            <v>1348.7626</v>
          </cell>
          <cell r="D111">
            <v>48.837600000000066</v>
          </cell>
          <cell r="F111">
            <v>3235.3782999999999</v>
          </cell>
          <cell r="G111">
            <v>3152.3031749999996</v>
          </cell>
          <cell r="H111">
            <v>-83.075125000000298</v>
          </cell>
          <cell r="J111">
            <v>1731.095</v>
          </cell>
          <cell r="K111">
            <v>1729.2959166666667</v>
          </cell>
          <cell r="L111">
            <v>-1.7990833333333285</v>
          </cell>
          <cell r="N111">
            <v>200.5617</v>
          </cell>
          <cell r="O111">
            <v>193.25908333333334</v>
          </cell>
          <cell r="P111">
            <v>-7.3026166666666654</v>
          </cell>
          <cell r="R111">
            <v>1343.8507999999999</v>
          </cell>
          <cell r="S111">
            <v>1330.8152250000001</v>
          </cell>
          <cell r="T111">
            <v>-13.035574999999881</v>
          </cell>
          <cell r="V111">
            <v>7810.8108000000002</v>
          </cell>
          <cell r="W111">
            <v>7754.4359999999997</v>
          </cell>
          <cell r="X111">
            <v>-56.374800000000505</v>
          </cell>
        </row>
        <row r="112">
          <cell r="A112" t="str">
            <v>Canterbury DHB</v>
          </cell>
          <cell r="B112">
            <v>807.08330000000001</v>
          </cell>
          <cell r="C112">
            <v>808</v>
          </cell>
          <cell r="D112">
            <v>0.91669999999999163</v>
          </cell>
          <cell r="F112">
            <v>3250.8674999999998</v>
          </cell>
          <cell r="G112">
            <v>3258</v>
          </cell>
          <cell r="H112">
            <v>7.1325000000001637</v>
          </cell>
          <cell r="J112">
            <v>1337.0817</v>
          </cell>
          <cell r="K112">
            <v>1298</v>
          </cell>
          <cell r="L112">
            <v>-39.081699999999955</v>
          </cell>
          <cell r="N112">
            <v>328.67419999999998</v>
          </cell>
          <cell r="O112">
            <v>297</v>
          </cell>
          <cell r="P112">
            <v>-31.674199999999985</v>
          </cell>
          <cell r="R112">
            <v>1125.4358</v>
          </cell>
          <cell r="S112">
            <v>1180.47</v>
          </cell>
          <cell r="T112">
            <v>55.034200000000055</v>
          </cell>
          <cell r="V112">
            <v>6849.1424999999999</v>
          </cell>
          <cell r="W112">
            <v>6841.47</v>
          </cell>
          <cell r="X112">
            <v>-7.6724999999996726</v>
          </cell>
        </row>
        <row r="113">
          <cell r="A113" t="str">
            <v>Capital &amp; Coast DHB</v>
          </cell>
          <cell r="B113">
            <v>702.08249999999998</v>
          </cell>
          <cell r="C113">
            <v>661.60149999999987</v>
          </cell>
          <cell r="D113">
            <v>-40.481000000000108</v>
          </cell>
          <cell r="F113">
            <v>1927.5329999999999</v>
          </cell>
          <cell r="G113">
            <v>1777.5092000000002</v>
          </cell>
          <cell r="H113">
            <v>-150.02379999999971</v>
          </cell>
          <cell r="J113">
            <v>689.50160000000005</v>
          </cell>
          <cell r="K113">
            <v>679.94060000000002</v>
          </cell>
          <cell r="L113">
            <v>-9.5610000000000355</v>
          </cell>
          <cell r="N113">
            <v>174.69450000000001</v>
          </cell>
          <cell r="O113">
            <v>170</v>
          </cell>
          <cell r="P113">
            <v>-4.694500000000005</v>
          </cell>
          <cell r="R113">
            <v>847.67240000000004</v>
          </cell>
          <cell r="S113">
            <v>802.87630000000001</v>
          </cell>
          <cell r="T113">
            <v>-44.796100000000024</v>
          </cell>
          <cell r="V113">
            <v>4341.4840000000004</v>
          </cell>
          <cell r="W113">
            <v>4091.9276</v>
          </cell>
          <cell r="X113">
            <v>-249.55640000000039</v>
          </cell>
        </row>
        <row r="114">
          <cell r="A114" t="str">
            <v>Counties Manukau DHB</v>
          </cell>
          <cell r="B114">
            <v>828</v>
          </cell>
          <cell r="C114">
            <v>874.59166666666681</v>
          </cell>
          <cell r="D114">
            <v>46.591666666666811</v>
          </cell>
          <cell r="F114">
            <v>2371.1667000000002</v>
          </cell>
          <cell r="G114">
            <v>2243.5383333333334</v>
          </cell>
          <cell r="H114">
            <v>-127.62836666666681</v>
          </cell>
          <cell r="J114">
            <v>943.5</v>
          </cell>
          <cell r="K114">
            <v>942.93916666666667</v>
          </cell>
          <cell r="L114">
            <v>-0.56083333333333485</v>
          </cell>
          <cell r="N114">
            <v>370.75</v>
          </cell>
          <cell r="O114">
            <v>360.95083333333326</v>
          </cell>
          <cell r="P114">
            <v>-9.7991666666667356</v>
          </cell>
          <cell r="R114">
            <v>775.33330000000001</v>
          </cell>
          <cell r="S114">
            <v>833.88250000000005</v>
          </cell>
          <cell r="T114">
            <v>58.549200000000042</v>
          </cell>
          <cell r="V114">
            <v>5288.75</v>
          </cell>
          <cell r="W114">
            <v>5255.9024999999992</v>
          </cell>
          <cell r="X114">
            <v>-32.847500000000764</v>
          </cell>
        </row>
        <row r="115">
          <cell r="A115" t="str">
            <v>Southern DHB</v>
          </cell>
          <cell r="B115">
            <v>421.58330000000001</v>
          </cell>
          <cell r="C115">
            <v>440.0931666666666</v>
          </cell>
          <cell r="D115">
            <v>18.509866666666596</v>
          </cell>
          <cell r="F115">
            <v>1519.8108</v>
          </cell>
          <cell r="G115">
            <v>1497.46</v>
          </cell>
          <cell r="H115">
            <v>-22.350799999999936</v>
          </cell>
          <cell r="J115">
            <v>668.41669999999999</v>
          </cell>
          <cell r="K115">
            <v>659.21</v>
          </cell>
          <cell r="L115">
            <v>-9.2066999999999553</v>
          </cell>
          <cell r="N115">
            <v>167.41669999999999</v>
          </cell>
          <cell r="O115">
            <v>160.43583333333333</v>
          </cell>
          <cell r="P115">
            <v>-6.9808666666666568</v>
          </cell>
          <cell r="R115">
            <v>693.79669999999999</v>
          </cell>
          <cell r="S115">
            <v>713.71083333333331</v>
          </cell>
          <cell r="T115">
            <v>19.914133333333325</v>
          </cell>
          <cell r="V115">
            <v>3471.0241999999998</v>
          </cell>
          <cell r="W115">
            <v>3470.9098333333336</v>
          </cell>
          <cell r="X115">
            <v>-0.11436666666622841</v>
          </cell>
        </row>
        <row r="116">
          <cell r="A116" t="str">
            <v>Waikato DHB</v>
          </cell>
          <cell r="B116">
            <v>601.28</v>
          </cell>
          <cell r="C116">
            <v>625.48666666666657</v>
          </cell>
          <cell r="D116">
            <v>24.206666666666592</v>
          </cell>
          <cell r="F116">
            <v>2130.8332999999998</v>
          </cell>
          <cell r="G116">
            <v>2115.4083333333333</v>
          </cell>
          <cell r="H116">
            <v>-15.424966666666478</v>
          </cell>
          <cell r="J116">
            <v>860.41669999999999</v>
          </cell>
          <cell r="K116">
            <v>863.2258333333333</v>
          </cell>
          <cell r="L116">
            <v>2.8091333333333068</v>
          </cell>
          <cell r="N116">
            <v>304.16669999999999</v>
          </cell>
          <cell r="O116">
            <v>318.85166666666669</v>
          </cell>
          <cell r="P116">
            <v>14.684966666666696</v>
          </cell>
          <cell r="R116">
            <v>1057.2592</v>
          </cell>
          <cell r="S116">
            <v>1050.0925</v>
          </cell>
          <cell r="T116">
            <v>-7.1666999999999916</v>
          </cell>
          <cell r="V116">
            <v>4953.955899999999</v>
          </cell>
          <cell r="W116">
            <v>4973.0649999999996</v>
          </cell>
          <cell r="X116">
            <v>19.109100000000581</v>
          </cell>
        </row>
        <row r="117">
          <cell r="A117" t="str">
            <v>Waitemata DHB</v>
          </cell>
          <cell r="B117">
            <v>696.31330000000003</v>
          </cell>
          <cell r="C117">
            <v>754.75</v>
          </cell>
          <cell r="D117">
            <v>58.436699999999973</v>
          </cell>
          <cell r="F117">
            <v>2353.585</v>
          </cell>
          <cell r="G117">
            <v>2334.233333333334</v>
          </cell>
          <cell r="H117">
            <v>-19.351666666666006</v>
          </cell>
          <cell r="J117">
            <v>1266.7650000000001</v>
          </cell>
          <cell r="K117">
            <v>1293.75</v>
          </cell>
          <cell r="L117">
            <v>26.9849999999999</v>
          </cell>
          <cell r="N117">
            <v>118.735</v>
          </cell>
          <cell r="O117">
            <v>119.08333333333333</v>
          </cell>
          <cell r="P117">
            <v>0.34833333333332916</v>
          </cell>
          <cell r="R117">
            <v>818.53250000000003</v>
          </cell>
          <cell r="S117">
            <v>815.91666666666663</v>
          </cell>
          <cell r="T117">
            <v>-2.6158333333333985</v>
          </cell>
          <cell r="V117">
            <v>5253.9308000000001</v>
          </cell>
          <cell r="W117">
            <v>5317.7333333333336</v>
          </cell>
          <cell r="X117">
            <v>63.802533333333486</v>
          </cell>
        </row>
        <row r="118">
          <cell r="A118" t="str">
            <v>TOTAL</v>
          </cell>
          <cell r="B118">
            <v>7255.9623000000001</v>
          </cell>
          <cell r="C118">
            <v>7437.6438500000004</v>
          </cell>
          <cell r="D118">
            <v>181.68155000000024</v>
          </cell>
          <cell r="F118">
            <v>24362.966299999996</v>
          </cell>
          <cell r="G118">
            <v>23702.809141666665</v>
          </cell>
          <cell r="H118">
            <v>-660.15715833333161</v>
          </cell>
          <cell r="J118">
            <v>11134.114</v>
          </cell>
          <cell r="K118">
            <v>11185.925383333335</v>
          </cell>
          <cell r="L118">
            <v>51.811383333335471</v>
          </cell>
          <cell r="N118">
            <v>2617.8425000000002</v>
          </cell>
          <cell r="O118">
            <v>2534.0050333333334</v>
          </cell>
          <cell r="P118">
            <v>-83.837466666666842</v>
          </cell>
          <cell r="R118">
            <v>10326.4894</v>
          </cell>
          <cell r="S118">
            <v>10553.163624999999</v>
          </cell>
          <cell r="T118">
            <v>226.67422499999884</v>
          </cell>
          <cell r="V118">
            <v>55697.374500000005</v>
          </cell>
          <cell r="W118">
            <v>55413.547033333336</v>
          </cell>
          <cell r="X118">
            <v>-283.82746666666935</v>
          </cell>
        </row>
        <row r="136">
          <cell r="A136" t="str">
            <v>South Canterbury DHB</v>
          </cell>
          <cell r="B136">
            <v>50.833300000000001</v>
          </cell>
          <cell r="C136">
            <v>49</v>
          </cell>
          <cell r="D136">
            <v>-1.8333000000000013</v>
          </cell>
          <cell r="F136">
            <v>320.33330000000001</v>
          </cell>
          <cell r="G136">
            <v>306</v>
          </cell>
          <cell r="H136">
            <v>-14.333300000000008</v>
          </cell>
          <cell r="J136">
            <v>94.25</v>
          </cell>
          <cell r="K136">
            <v>103</v>
          </cell>
          <cell r="L136">
            <v>8.75</v>
          </cell>
          <cell r="N136">
            <v>57.583300000000001</v>
          </cell>
          <cell r="O136">
            <v>56</v>
          </cell>
          <cell r="P136">
            <v>-1.5833000000000013</v>
          </cell>
          <cell r="R136">
            <v>123.58329999999999</v>
          </cell>
          <cell r="S136">
            <v>125.08333333333333</v>
          </cell>
          <cell r="T136">
            <v>1.5000333333333344</v>
          </cell>
          <cell r="V136">
            <v>646.58320000000003</v>
          </cell>
          <cell r="W136">
            <v>639.08333333333337</v>
          </cell>
          <cell r="X136">
            <v>-7.4998666666666622</v>
          </cell>
        </row>
        <row r="137">
          <cell r="A137" t="str">
            <v>Tairawhiti DHB</v>
          </cell>
          <cell r="B137">
            <v>69.638300000000001</v>
          </cell>
          <cell r="C137">
            <v>68.8</v>
          </cell>
          <cell r="D137">
            <v>-0.83830000000000382</v>
          </cell>
          <cell r="F137">
            <v>252.35669999999999</v>
          </cell>
          <cell r="G137">
            <v>245</v>
          </cell>
          <cell r="H137">
            <v>-7.3566999999999894</v>
          </cell>
          <cell r="J137">
            <v>148.76499999999999</v>
          </cell>
          <cell r="K137">
            <v>150</v>
          </cell>
          <cell r="L137">
            <v>1.2350000000000136</v>
          </cell>
          <cell r="N137">
            <v>17.789200000000001</v>
          </cell>
          <cell r="O137">
            <v>18</v>
          </cell>
          <cell r="P137">
            <v>0.21079999999999899</v>
          </cell>
          <cell r="R137">
            <v>132.10499999999999</v>
          </cell>
          <cell r="S137">
            <v>132</v>
          </cell>
          <cell r="T137">
            <v>-0.10499999999998977</v>
          </cell>
          <cell r="V137">
            <v>620.65419999999995</v>
          </cell>
          <cell r="W137">
            <v>613.79999999999995</v>
          </cell>
          <cell r="X137">
            <v>-6.8541999999999916</v>
          </cell>
        </row>
        <row r="138">
          <cell r="A138" t="str">
            <v>Wairarapa DHB</v>
          </cell>
          <cell r="B138">
            <v>36.055500000000002</v>
          </cell>
          <cell r="C138">
            <v>37.233250000000005</v>
          </cell>
          <cell r="D138">
            <v>1.1777500000000032</v>
          </cell>
          <cell r="F138">
            <v>192.67429999999999</v>
          </cell>
          <cell r="G138">
            <v>191.21574999999999</v>
          </cell>
          <cell r="H138">
            <v>-1.4585500000000025</v>
          </cell>
          <cell r="J138">
            <v>92.650499999999994</v>
          </cell>
          <cell r="K138">
            <v>95.081500000000005</v>
          </cell>
          <cell r="L138">
            <v>2.4310000000000116</v>
          </cell>
          <cell r="N138">
            <v>11.8695</v>
          </cell>
          <cell r="O138">
            <v>11.38283333333333</v>
          </cell>
          <cell r="P138">
            <v>-0.48666666666666991</v>
          </cell>
          <cell r="R138">
            <v>107.599</v>
          </cell>
          <cell r="S138">
            <v>116.18733333333334</v>
          </cell>
          <cell r="T138">
            <v>8.5883333333333383</v>
          </cell>
          <cell r="V138">
            <v>440.84879999999998</v>
          </cell>
          <cell r="W138">
            <v>451.10066666666665</v>
          </cell>
          <cell r="X138">
            <v>10.251866666666672</v>
          </cell>
        </row>
        <row r="139">
          <cell r="A139" t="str">
            <v>West Coast DHB</v>
          </cell>
          <cell r="B139">
            <v>38.002400000000002</v>
          </cell>
          <cell r="C139">
            <v>41.34</v>
          </cell>
          <cell r="D139">
            <v>3.3376000000000019</v>
          </cell>
          <cell r="F139">
            <v>313.39170000000001</v>
          </cell>
          <cell r="G139">
            <v>318.52999999999997</v>
          </cell>
          <cell r="H139">
            <v>5.1382999999999583</v>
          </cell>
          <cell r="J139">
            <v>156.0873</v>
          </cell>
          <cell r="K139">
            <v>155.93</v>
          </cell>
          <cell r="L139">
            <v>-0.15729999999999222</v>
          </cell>
          <cell r="N139">
            <v>46.552300000000002</v>
          </cell>
          <cell r="O139">
            <v>43.44</v>
          </cell>
          <cell r="P139">
            <v>-3.1123000000000047</v>
          </cell>
          <cell r="R139">
            <v>131.86529999999999</v>
          </cell>
          <cell r="S139">
            <v>136.29</v>
          </cell>
          <cell r="T139">
            <v>4.4247000000000014</v>
          </cell>
          <cell r="V139">
            <v>685.89899999999989</v>
          </cell>
          <cell r="W139">
            <v>695.53</v>
          </cell>
          <cell r="X139">
            <v>9.6310000000000855</v>
          </cell>
        </row>
        <row r="140">
          <cell r="A140" t="str">
            <v>Whanganui DHB</v>
          </cell>
          <cell r="B140">
            <v>85.792500000000004</v>
          </cell>
          <cell r="C140">
            <v>79.703333333333333</v>
          </cell>
          <cell r="D140">
            <v>-6.0891666666666708</v>
          </cell>
          <cell r="F140">
            <v>394.7758</v>
          </cell>
          <cell r="G140">
            <v>363.06083333333339</v>
          </cell>
          <cell r="H140">
            <v>-31.714966666666612</v>
          </cell>
          <cell r="J140">
            <v>129.73330000000001</v>
          </cell>
          <cell r="K140">
            <v>135.59083333333334</v>
          </cell>
          <cell r="L140">
            <v>5.8575333333333219</v>
          </cell>
          <cell r="N140">
            <v>18.343299999999999</v>
          </cell>
          <cell r="O140">
            <v>17.763333333333332</v>
          </cell>
          <cell r="P140">
            <v>-0.57996666666666741</v>
          </cell>
          <cell r="R140">
            <v>175.42169999999999</v>
          </cell>
          <cell r="S140">
            <v>172.80166666666665</v>
          </cell>
          <cell r="T140">
            <v>-2.620033333333339</v>
          </cell>
          <cell r="V140">
            <v>804.06659999999999</v>
          </cell>
          <cell r="W140">
            <v>768.92</v>
          </cell>
          <cell r="X140">
            <v>-35.146600000000035</v>
          </cell>
        </row>
        <row r="141">
          <cell r="A141" t="str">
            <v>Medium</v>
          </cell>
        </row>
        <row r="142">
          <cell r="A142" t="str">
            <v>Bay of Plenty DHB</v>
          </cell>
          <cell r="B142">
            <v>270</v>
          </cell>
          <cell r="C142">
            <v>276.16666666666669</v>
          </cell>
          <cell r="D142">
            <v>6.1666666666666856</v>
          </cell>
          <cell r="F142">
            <v>1059.6667</v>
          </cell>
          <cell r="G142">
            <v>1019.75</v>
          </cell>
          <cell r="H142">
            <v>-39.916699999999992</v>
          </cell>
          <cell r="J142">
            <v>404.25</v>
          </cell>
          <cell r="K142">
            <v>433</v>
          </cell>
          <cell r="L142">
            <v>28.75</v>
          </cell>
          <cell r="N142">
            <v>138.33330000000001</v>
          </cell>
          <cell r="O142">
            <v>138.91666666666666</v>
          </cell>
          <cell r="P142">
            <v>0.58336666666664883</v>
          </cell>
          <cell r="R142">
            <v>441.25</v>
          </cell>
          <cell r="S142">
            <v>452.58333333333331</v>
          </cell>
          <cell r="T142">
            <v>11.333333333333314</v>
          </cell>
          <cell r="V142">
            <v>2313.5</v>
          </cell>
          <cell r="W142">
            <v>2320.416666666667</v>
          </cell>
          <cell r="X142">
            <v>6.9166666666669698</v>
          </cell>
        </row>
        <row r="143">
          <cell r="A143" t="str">
            <v>Hawke's Bay DHB</v>
          </cell>
          <cell r="B143">
            <v>266.7758</v>
          </cell>
          <cell r="C143">
            <v>255.3833333333333</v>
          </cell>
          <cell r="D143">
            <v>-11.392466666666706</v>
          </cell>
          <cell r="F143">
            <v>815.10419999999999</v>
          </cell>
          <cell r="G143">
            <v>813.33333333333337</v>
          </cell>
          <cell r="H143">
            <v>-1.7708666666666204</v>
          </cell>
          <cell r="J143">
            <v>388.06330000000003</v>
          </cell>
          <cell r="K143">
            <v>398.49166666666673</v>
          </cell>
          <cell r="L143">
            <v>10.428366666666705</v>
          </cell>
          <cell r="N143">
            <v>139.32499999999999</v>
          </cell>
          <cell r="O143">
            <v>145.26666666666665</v>
          </cell>
          <cell r="P143">
            <v>5.9416666666666629</v>
          </cell>
          <cell r="R143">
            <v>392.53829999999999</v>
          </cell>
          <cell r="S143">
            <v>379.75833333333338</v>
          </cell>
          <cell r="T143">
            <v>-12.77996666666661</v>
          </cell>
          <cell r="V143">
            <v>2001.8066000000001</v>
          </cell>
          <cell r="W143">
            <v>1992.2333333333336</v>
          </cell>
          <cell r="X143">
            <v>-9.5732666666665409</v>
          </cell>
        </row>
        <row r="144">
          <cell r="A144" t="str">
            <v>Hutt Valley DHB</v>
          </cell>
          <cell r="B144">
            <v>232.535</v>
          </cell>
          <cell r="C144">
            <v>224.9083333333333</v>
          </cell>
          <cell r="D144">
            <v>-7.6266666666666936</v>
          </cell>
          <cell r="F144">
            <v>699.19330000000002</v>
          </cell>
          <cell r="G144">
            <v>697.38333333333333</v>
          </cell>
          <cell r="H144">
            <v>-1.8099666666666963</v>
          </cell>
          <cell r="J144">
            <v>395.95920000000001</v>
          </cell>
          <cell r="K144">
            <v>414.5</v>
          </cell>
          <cell r="L144">
            <v>18.54079999999999</v>
          </cell>
          <cell r="N144">
            <v>128.67169999999999</v>
          </cell>
          <cell r="O144">
            <v>127.25833333333334</v>
          </cell>
          <cell r="P144">
            <v>-1.4133666666666471</v>
          </cell>
          <cell r="R144">
            <v>352.37329999999997</v>
          </cell>
          <cell r="S144">
            <v>371.95833333333331</v>
          </cell>
          <cell r="T144">
            <v>19.585033333333342</v>
          </cell>
          <cell r="V144">
            <v>1808.7324999999998</v>
          </cell>
          <cell r="W144">
            <v>1836.0083333333332</v>
          </cell>
          <cell r="X144">
            <v>27.275833333333367</v>
          </cell>
        </row>
        <row r="145">
          <cell r="A145" t="str">
            <v>Lakes DHB</v>
          </cell>
          <cell r="B145">
            <v>139.6018</v>
          </cell>
          <cell r="C145">
            <v>136</v>
          </cell>
          <cell r="D145">
            <v>-3.6017999999999972</v>
          </cell>
          <cell r="F145">
            <v>477.82069999999999</v>
          </cell>
          <cell r="G145">
            <v>453.58333333333331</v>
          </cell>
          <cell r="H145">
            <v>-24.237366666666674</v>
          </cell>
          <cell r="J145">
            <v>181.15129999999999</v>
          </cell>
          <cell r="K145">
            <v>187.08333333333334</v>
          </cell>
          <cell r="L145">
            <v>5.9320333333333508</v>
          </cell>
          <cell r="N145">
            <v>61.067700000000002</v>
          </cell>
          <cell r="O145">
            <v>61.083333333333336</v>
          </cell>
          <cell r="P145">
            <v>1.563333333333361E-2</v>
          </cell>
          <cell r="R145">
            <v>247.4058</v>
          </cell>
          <cell r="S145">
            <v>253.25</v>
          </cell>
          <cell r="T145">
            <v>5.8442000000000007</v>
          </cell>
          <cell r="V145">
            <v>1107.0473</v>
          </cell>
          <cell r="W145">
            <v>1091</v>
          </cell>
          <cell r="X145">
            <v>-16.04729999999995</v>
          </cell>
        </row>
        <row r="146">
          <cell r="A146" t="str">
            <v>MidCentral DHB</v>
          </cell>
          <cell r="B146">
            <v>269.17169999999999</v>
          </cell>
          <cell r="C146">
            <v>288.5</v>
          </cell>
          <cell r="D146">
            <v>19.328300000000013</v>
          </cell>
          <cell r="F146">
            <v>923.24829999999997</v>
          </cell>
          <cell r="G146">
            <v>922.5</v>
          </cell>
          <cell r="H146">
            <v>-0.74829999999997199</v>
          </cell>
          <cell r="J146">
            <v>370.11579999999998</v>
          </cell>
          <cell r="K146">
            <v>404.5</v>
          </cell>
          <cell r="L146">
            <v>34.384200000000021</v>
          </cell>
          <cell r="N146">
            <v>44.951700000000002</v>
          </cell>
          <cell r="O146">
            <v>46</v>
          </cell>
          <cell r="P146">
            <v>1.0482999999999976</v>
          </cell>
          <cell r="R146">
            <v>498.72579999999999</v>
          </cell>
          <cell r="S146">
            <v>514</v>
          </cell>
          <cell r="T146">
            <v>15.274200000000008</v>
          </cell>
          <cell r="V146">
            <v>2106.2133000000003</v>
          </cell>
          <cell r="W146">
            <v>2175.5</v>
          </cell>
          <cell r="X146">
            <v>69.286699999999655</v>
          </cell>
        </row>
        <row r="147">
          <cell r="A147" t="str">
            <v>Nelson Marlborough DHB</v>
          </cell>
          <cell r="B147">
            <v>166.39169999999999</v>
          </cell>
          <cell r="C147">
            <v>165.2</v>
          </cell>
          <cell r="D147">
            <v>-1.1916999999999973</v>
          </cell>
          <cell r="F147">
            <v>643.36109999999996</v>
          </cell>
          <cell r="G147">
            <v>630</v>
          </cell>
          <cell r="H147">
            <v>-13.361099999999965</v>
          </cell>
          <cell r="J147">
            <v>550.71169999999995</v>
          </cell>
          <cell r="K147">
            <v>558.91666666666663</v>
          </cell>
          <cell r="L147">
            <v>8.2049666666666781</v>
          </cell>
          <cell r="N147">
            <v>96.456699999999998</v>
          </cell>
          <cell r="O147">
            <v>89.75</v>
          </cell>
          <cell r="P147">
            <v>-6.7066999999999979</v>
          </cell>
          <cell r="R147">
            <v>350.2955</v>
          </cell>
          <cell r="S147">
            <v>346.33333333333331</v>
          </cell>
          <cell r="T147">
            <v>-3.9621666666666897</v>
          </cell>
          <cell r="V147">
            <v>1807.2166999999999</v>
          </cell>
          <cell r="W147">
            <v>1790.2</v>
          </cell>
          <cell r="X147">
            <v>-17.016699999999901</v>
          </cell>
        </row>
        <row r="148">
          <cell r="A148" t="str">
            <v>Northland DHB</v>
          </cell>
          <cell r="B148">
            <v>214.80449999999999</v>
          </cell>
          <cell r="C148">
            <v>230.90990833333339</v>
          </cell>
          <cell r="D148">
            <v>16.105408333333401</v>
          </cell>
          <cell r="F148">
            <v>917.65359999999998</v>
          </cell>
          <cell r="G148">
            <v>889.51993333333314</v>
          </cell>
          <cell r="H148">
            <v>-28.133666666666841</v>
          </cell>
          <cell r="J148">
            <v>460.43060000000003</v>
          </cell>
          <cell r="K148">
            <v>463.4016666666667</v>
          </cell>
          <cell r="L148">
            <v>2.9710666666666725</v>
          </cell>
          <cell r="N148">
            <v>82.894199999999998</v>
          </cell>
          <cell r="O148">
            <v>85.487583333333347</v>
          </cell>
          <cell r="P148">
            <v>2.5933833333333496</v>
          </cell>
          <cell r="R148">
            <v>393.38029999999998</v>
          </cell>
          <cell r="S148">
            <v>403.40462499999995</v>
          </cell>
          <cell r="T148">
            <v>10.024324999999976</v>
          </cell>
          <cell r="V148">
            <v>2069.1632</v>
          </cell>
          <cell r="W148">
            <v>2072.7237166666664</v>
          </cell>
          <cell r="X148">
            <v>3.5605166666664445</v>
          </cell>
        </row>
        <row r="149">
          <cell r="A149" t="str">
            <v>Taranaki DHB</v>
          </cell>
          <cell r="B149">
            <v>139.25829999999999</v>
          </cell>
          <cell r="C149">
            <v>151</v>
          </cell>
          <cell r="D149">
            <v>11.741700000000009</v>
          </cell>
          <cell r="F149">
            <v>549.20579999999995</v>
          </cell>
          <cell r="G149">
            <v>573</v>
          </cell>
          <cell r="H149">
            <v>23.794200000000046</v>
          </cell>
          <cell r="J149">
            <v>241.38499999999999</v>
          </cell>
          <cell r="K149">
            <v>282</v>
          </cell>
          <cell r="L149">
            <v>40.615000000000002</v>
          </cell>
          <cell r="N149">
            <v>88.926699999999997</v>
          </cell>
          <cell r="O149">
            <v>94.75</v>
          </cell>
          <cell r="P149">
            <v>5.8233000000000033</v>
          </cell>
          <cell r="R149">
            <v>281.45330000000001</v>
          </cell>
          <cell r="S149">
            <v>292.83333333333331</v>
          </cell>
          <cell r="T149">
            <v>11.380033333333301</v>
          </cell>
          <cell r="V149">
            <v>1300.2291</v>
          </cell>
          <cell r="W149">
            <v>1393.5833333333333</v>
          </cell>
          <cell r="X149">
            <v>93.354233333333241</v>
          </cell>
        </row>
        <row r="150">
          <cell r="A150" t="str">
            <v>Large</v>
          </cell>
        </row>
        <row r="151">
          <cell r="A151" t="str">
            <v>Auckland DHB</v>
          </cell>
          <cell r="B151">
            <v>1455.5382999999999</v>
          </cell>
          <cell r="C151">
            <v>1402.9089666666669</v>
          </cell>
          <cell r="D151">
            <v>-52.629333333333079</v>
          </cell>
          <cell r="F151">
            <v>3245.0482999999999</v>
          </cell>
          <cell r="G151">
            <v>3251.9454583333331</v>
          </cell>
          <cell r="H151">
            <v>6.8971583333332092</v>
          </cell>
          <cell r="J151">
            <v>1743.5174999999999</v>
          </cell>
          <cell r="K151">
            <v>1777.2820833333333</v>
          </cell>
          <cell r="L151">
            <v>33.764583333333348</v>
          </cell>
          <cell r="N151">
            <v>200.63919999999999</v>
          </cell>
          <cell r="O151">
            <v>196.79515000000001</v>
          </cell>
          <cell r="P151">
            <v>-3.8440499999999815</v>
          </cell>
          <cell r="R151">
            <v>1281.4949999999999</v>
          </cell>
          <cell r="S151">
            <v>1391.8136083333331</v>
          </cell>
          <cell r="T151">
            <v>110.31860833333326</v>
          </cell>
          <cell r="V151">
            <v>7926.2382999999991</v>
          </cell>
          <cell r="W151">
            <v>8020.7452666666659</v>
          </cell>
          <cell r="X151">
            <v>94.506966666666813</v>
          </cell>
        </row>
        <row r="152">
          <cell r="A152" t="str">
            <v>Canterbury DHB</v>
          </cell>
          <cell r="B152">
            <v>846.5933</v>
          </cell>
          <cell r="C152">
            <v>807</v>
          </cell>
          <cell r="D152">
            <v>-39.593299999999999</v>
          </cell>
          <cell r="F152">
            <v>3318.6767</v>
          </cell>
          <cell r="G152">
            <v>3249</v>
          </cell>
          <cell r="H152">
            <v>-69.676699999999983</v>
          </cell>
          <cell r="J152">
            <v>1356.8108</v>
          </cell>
          <cell r="K152">
            <v>1320</v>
          </cell>
          <cell r="L152">
            <v>-36.810799999999972</v>
          </cell>
          <cell r="N152">
            <v>338.26420000000002</v>
          </cell>
          <cell r="O152">
            <v>318</v>
          </cell>
          <cell r="P152">
            <v>-20.264200000000017</v>
          </cell>
          <cell r="R152">
            <v>1110.5074999999999</v>
          </cell>
          <cell r="S152">
            <v>1178</v>
          </cell>
          <cell r="T152">
            <v>67.492500000000064</v>
          </cell>
          <cell r="V152">
            <v>6970.8525</v>
          </cell>
          <cell r="W152">
            <v>6872</v>
          </cell>
          <cell r="X152">
            <v>-98.852500000000006</v>
          </cell>
        </row>
        <row r="153">
          <cell r="A153" t="str">
            <v>Capital &amp; Coast DHB</v>
          </cell>
          <cell r="B153">
            <v>676.67169999999999</v>
          </cell>
          <cell r="C153">
            <v>702.9942166666666</v>
          </cell>
          <cell r="D153">
            <v>26.322516666666615</v>
          </cell>
          <cell r="F153">
            <v>1932.3784000000001</v>
          </cell>
          <cell r="G153">
            <v>1890.0147416666669</v>
          </cell>
          <cell r="H153">
            <v>-42.363658333333206</v>
          </cell>
          <cell r="J153">
            <v>702.80319999999995</v>
          </cell>
          <cell r="K153">
            <v>730.18252500000017</v>
          </cell>
          <cell r="L153">
            <v>27.379325000000222</v>
          </cell>
          <cell r="N153">
            <v>176.62809999999999</v>
          </cell>
          <cell r="O153">
            <v>174.62740000000005</v>
          </cell>
          <cell r="P153">
            <v>-2.000699999999938</v>
          </cell>
          <cell r="R153">
            <v>809.94949999999994</v>
          </cell>
          <cell r="S153">
            <v>835.03250000000003</v>
          </cell>
          <cell r="T153">
            <v>25.083000000000084</v>
          </cell>
          <cell r="V153">
            <v>4298.4308999999994</v>
          </cell>
          <cell r="W153">
            <v>4332.8513833333336</v>
          </cell>
          <cell r="X153">
            <v>34.420483333334232</v>
          </cell>
        </row>
        <row r="154">
          <cell r="A154" t="str">
            <v>Counties Manukau DHB</v>
          </cell>
          <cell r="B154">
            <v>867.16669999999999</v>
          </cell>
          <cell r="C154">
            <v>865.17677500000002</v>
          </cell>
          <cell r="D154">
            <v>-1.9899249999999711</v>
          </cell>
          <cell r="F154">
            <v>2404.6667000000002</v>
          </cell>
          <cell r="G154">
            <v>2358.5939583333334</v>
          </cell>
          <cell r="H154">
            <v>-46.072741666666843</v>
          </cell>
          <cell r="J154">
            <v>978.08330000000001</v>
          </cell>
          <cell r="K154">
            <v>982.83749999999998</v>
          </cell>
          <cell r="L154">
            <v>4.7541999999999689</v>
          </cell>
          <cell r="N154">
            <v>374.58330000000001</v>
          </cell>
          <cell r="O154">
            <v>370.60347500000006</v>
          </cell>
          <cell r="P154">
            <v>-3.9798249999999484</v>
          </cell>
          <cell r="R154">
            <v>790.25</v>
          </cell>
          <cell r="S154">
            <v>805.64244999999994</v>
          </cell>
          <cell r="T154">
            <v>15.39244999999994</v>
          </cell>
          <cell r="V154">
            <v>5414.75</v>
          </cell>
          <cell r="W154">
            <v>5382.8541583333335</v>
          </cell>
          <cell r="X154">
            <v>-31.895841666667366</v>
          </cell>
        </row>
        <row r="155">
          <cell r="A155" t="str">
            <v>Southern DHB</v>
          </cell>
          <cell r="B155">
            <v>447.41669999999999</v>
          </cell>
          <cell r="C155">
            <v>435.38499999999999</v>
          </cell>
          <cell r="D155">
            <v>-12.031700000000001</v>
          </cell>
          <cell r="F155">
            <v>1523.25</v>
          </cell>
          <cell r="G155">
            <v>1518.865</v>
          </cell>
          <cell r="H155">
            <v>-4.3849999999999909</v>
          </cell>
          <cell r="J155">
            <v>666.33330000000001</v>
          </cell>
          <cell r="K155">
            <v>701.67916666666679</v>
          </cell>
          <cell r="L155">
            <v>35.34586666666678</v>
          </cell>
          <cell r="N155">
            <v>194.08330000000001</v>
          </cell>
          <cell r="O155">
            <v>198.36</v>
          </cell>
          <cell r="P155">
            <v>4.2767000000000053</v>
          </cell>
          <cell r="R155">
            <v>673.75</v>
          </cell>
          <cell r="S155">
            <v>700.33333333333337</v>
          </cell>
          <cell r="T155">
            <v>26.583333333333371</v>
          </cell>
          <cell r="V155">
            <v>3504.8333000000002</v>
          </cell>
          <cell r="W155">
            <v>3554.6225000000004</v>
          </cell>
          <cell r="X155">
            <v>49.789200000000164</v>
          </cell>
        </row>
        <row r="156">
          <cell r="A156" t="str">
            <v>Waikato DHB</v>
          </cell>
          <cell r="B156">
            <v>627.90830000000005</v>
          </cell>
          <cell r="C156">
            <v>637.16666666666663</v>
          </cell>
          <cell r="D156">
            <v>9.2583666666665749</v>
          </cell>
          <cell r="F156">
            <v>2217.4892</v>
          </cell>
          <cell r="G156">
            <v>2168.6666666666665</v>
          </cell>
          <cell r="H156">
            <v>-48.822533333333467</v>
          </cell>
          <cell r="J156">
            <v>916.505</v>
          </cell>
          <cell r="K156">
            <v>934.83333333333337</v>
          </cell>
          <cell r="L156">
            <v>18.328333333333376</v>
          </cell>
          <cell r="N156">
            <v>302.185</v>
          </cell>
          <cell r="O156">
            <v>301.83333333333331</v>
          </cell>
          <cell r="P156">
            <v>-0.35166666666668789</v>
          </cell>
          <cell r="R156">
            <v>1061.4517000000001</v>
          </cell>
          <cell r="S156">
            <v>1084.6666666666667</v>
          </cell>
          <cell r="T156">
            <v>23.214966666666669</v>
          </cell>
          <cell r="V156">
            <v>5125.5392000000002</v>
          </cell>
          <cell r="W156">
            <v>5127.166666666667</v>
          </cell>
          <cell r="X156">
            <v>1.6274666666668054</v>
          </cell>
        </row>
        <row r="157">
          <cell r="A157" t="str">
            <v>Waitemata DHB</v>
          </cell>
          <cell r="B157">
            <v>732.93079999999998</v>
          </cell>
          <cell r="C157">
            <v>802.20416666666677</v>
          </cell>
          <cell r="D157">
            <v>69.273366666666789</v>
          </cell>
          <cell r="F157">
            <v>2311.0817000000002</v>
          </cell>
          <cell r="G157">
            <v>2337.3674999999998</v>
          </cell>
          <cell r="H157">
            <v>26.285799999999654</v>
          </cell>
          <cell r="J157">
            <v>1284.6841999999999</v>
          </cell>
          <cell r="K157">
            <v>1379.9425000000001</v>
          </cell>
          <cell r="L157">
            <v>95.25830000000019</v>
          </cell>
          <cell r="N157">
            <v>120.6467</v>
          </cell>
          <cell r="O157">
            <v>131</v>
          </cell>
          <cell r="P157">
            <v>10.353300000000004</v>
          </cell>
          <cell r="R157">
            <v>803.43579999999997</v>
          </cell>
          <cell r="S157">
            <v>827.9</v>
          </cell>
          <cell r="T157">
            <v>24.464200000000005</v>
          </cell>
          <cell r="V157">
            <v>5252.7792000000009</v>
          </cell>
          <cell r="W157">
            <v>5478.4141666666665</v>
          </cell>
          <cell r="X157">
            <v>225.6349666666656</v>
          </cell>
        </row>
        <row r="158">
          <cell r="A158" t="str">
            <v>TOTAL</v>
          </cell>
          <cell r="B158">
            <v>7633.0865999999987</v>
          </cell>
          <cell r="C158">
            <v>7656.9806166666676</v>
          </cell>
          <cell r="D158">
            <v>23.894016666668904</v>
          </cell>
          <cell r="F158">
            <v>24511.376499999998</v>
          </cell>
          <cell r="G158">
            <v>24197.329841666669</v>
          </cell>
          <cell r="H158">
            <v>-314.04665833332911</v>
          </cell>
          <cell r="J158">
            <v>11262.290299999999</v>
          </cell>
          <cell r="K158">
            <v>11608.252775000001</v>
          </cell>
          <cell r="L158">
            <v>345.96247500000209</v>
          </cell>
          <cell r="N158">
            <v>2639.7943999999998</v>
          </cell>
          <cell r="O158">
            <v>2626.3181083333338</v>
          </cell>
          <cell r="P158">
            <v>-13.476291666665929</v>
          </cell>
          <cell r="R158">
            <v>10158.836099999999</v>
          </cell>
          <cell r="S158">
            <v>10519.872183333333</v>
          </cell>
          <cell r="T158">
            <v>361.03608333333432</v>
          </cell>
          <cell r="V158">
            <v>56205.383900000001</v>
          </cell>
          <cell r="W158">
            <v>56608.753525</v>
          </cell>
          <cell r="X158">
            <v>403.36962499999936</v>
          </cell>
        </row>
        <row r="179">
          <cell r="A179" t="str">
            <v>Auckland DHB</v>
          </cell>
          <cell r="B179">
            <v>1507.5916666666665</v>
          </cell>
          <cell r="C179">
            <v>1382.6151587078023</v>
          </cell>
          <cell r="D179">
            <v>124.97650795886393</v>
          </cell>
          <cell r="F179">
            <v>3258.9775000000004</v>
          </cell>
          <cell r="G179">
            <v>3207.5416430568112</v>
          </cell>
          <cell r="H179">
            <v>51.435856943188845</v>
          </cell>
          <cell r="J179">
            <v>1727.7683333333334</v>
          </cell>
          <cell r="K179">
            <v>1757.0853959743272</v>
          </cell>
          <cell r="L179">
            <v>-29.317062640993697</v>
          </cell>
          <cell r="N179">
            <v>225.98249999999996</v>
          </cell>
          <cell r="O179">
            <v>196.12088783420361</v>
          </cell>
          <cell r="P179">
            <v>29.861612165796384</v>
          </cell>
          <cell r="R179">
            <v>1138.7908333333332</v>
          </cell>
          <cell r="S179">
            <v>1178.6512449999998</v>
          </cell>
          <cell r="T179">
            <v>-39.860411666666742</v>
          </cell>
          <cell r="V179">
            <v>7859.1108333333332</v>
          </cell>
          <cell r="W179">
            <v>7722.0143305731444</v>
          </cell>
          <cell r="X179">
            <v>137.0965027601882</v>
          </cell>
        </row>
        <row r="180">
          <cell r="A180" t="str">
            <v>Counties Manukau DHB</v>
          </cell>
          <cell r="B180">
            <v>897.25</v>
          </cell>
          <cell r="C180">
            <v>954.16666666666663</v>
          </cell>
          <cell r="D180">
            <v>-56.916666666666664</v>
          </cell>
          <cell r="F180">
            <v>2515</v>
          </cell>
          <cell r="G180">
            <v>2351.4166666666665</v>
          </cell>
          <cell r="H180">
            <v>163.58333333333334</v>
          </cell>
          <cell r="J180">
            <v>1040</v>
          </cell>
          <cell r="K180">
            <v>1037.8333333333333</v>
          </cell>
          <cell r="L180">
            <v>2.1666666666666665</v>
          </cell>
          <cell r="N180">
            <v>394.75</v>
          </cell>
          <cell r="O180">
            <v>363</v>
          </cell>
          <cell r="P180">
            <v>31.75</v>
          </cell>
          <cell r="R180">
            <v>794.83333333333337</v>
          </cell>
          <cell r="S180">
            <v>838.66666666666663</v>
          </cell>
          <cell r="T180">
            <v>-43.833333333333336</v>
          </cell>
          <cell r="V180">
            <v>5641.833333333333</v>
          </cell>
          <cell r="W180">
            <v>5545.083333333333</v>
          </cell>
          <cell r="X180">
            <v>96.75</v>
          </cell>
        </row>
        <row r="181">
          <cell r="A181" t="str">
            <v>Northland DHB</v>
          </cell>
          <cell r="B181">
            <v>235.08745166666668</v>
          </cell>
          <cell r="C181">
            <v>238.66666666666666</v>
          </cell>
          <cell r="D181">
            <v>-3.5792150000000027</v>
          </cell>
          <cell r="F181">
            <v>958.89074583333331</v>
          </cell>
          <cell r="G181">
            <v>906.79916666666657</v>
          </cell>
          <cell r="H181">
            <v>52.091579166666747</v>
          </cell>
          <cell r="J181">
            <v>471.68392833333331</v>
          </cell>
          <cell r="K181">
            <v>479.9249999999999</v>
          </cell>
          <cell r="L181">
            <v>-8.2410716666666186</v>
          </cell>
          <cell r="N181">
            <v>77.000884999999997</v>
          </cell>
          <cell r="O181">
            <v>79.08250000000001</v>
          </cell>
          <cell r="P181">
            <v>-2.0816149999999993</v>
          </cell>
          <cell r="R181">
            <v>368.91788833333339</v>
          </cell>
          <cell r="S181">
            <v>363.79916666666668</v>
          </cell>
          <cell r="T181">
            <v>5.1187216666666728</v>
          </cell>
          <cell r="V181">
            <v>2111.5808991666668</v>
          </cell>
          <cell r="W181">
            <v>2068.2725</v>
          </cell>
          <cell r="X181">
            <v>43.308399166666824</v>
          </cell>
        </row>
        <row r="182">
          <cell r="A182" t="str">
            <v>Waitemata DHB</v>
          </cell>
          <cell r="B182">
            <v>787.99394166666661</v>
          </cell>
          <cell r="C182">
            <v>814.98333333333312</v>
          </cell>
          <cell r="D182">
            <v>-26.989391666666648</v>
          </cell>
          <cell r="F182">
            <v>2434.0657166666665</v>
          </cell>
          <cell r="G182">
            <v>2394.2625000000003</v>
          </cell>
          <cell r="H182">
            <v>39.803216666666685</v>
          </cell>
          <cell r="J182">
            <v>1354.5399416666669</v>
          </cell>
          <cell r="K182">
            <v>1416.3658333333335</v>
          </cell>
          <cell r="L182">
            <v>-61.82589166666677</v>
          </cell>
          <cell r="N182">
            <v>221.67166666666671</v>
          </cell>
          <cell r="O182">
            <v>246.61083333333332</v>
          </cell>
          <cell r="P182">
            <v>-24.939166666666665</v>
          </cell>
          <cell r="R182">
            <v>822.45083333333332</v>
          </cell>
          <cell r="S182">
            <v>845.23</v>
          </cell>
          <cell r="T182">
            <v>-22.779166666666725</v>
          </cell>
          <cell r="V182">
            <v>5620.7221</v>
          </cell>
          <cell r="W182">
            <v>5717.4524999999994</v>
          </cell>
          <cell r="X182">
            <v>-96.730400000000444</v>
          </cell>
        </row>
        <row r="183">
          <cell r="A183" t="str">
            <v>Northern Region Total</v>
          </cell>
          <cell r="B183">
            <v>3427.9230599999996</v>
          </cell>
          <cell r="C183">
            <v>3390.4318253744686</v>
          </cell>
          <cell r="D183">
            <v>37.491234625530609</v>
          </cell>
          <cell r="F183">
            <v>9166.9339625000011</v>
          </cell>
          <cell r="G183">
            <v>8860.0199763901437</v>
          </cell>
          <cell r="H183">
            <v>306.91398610985561</v>
          </cell>
          <cell r="J183">
            <v>4593.9922033333332</v>
          </cell>
          <cell r="K183">
            <v>4691.2095626409937</v>
          </cell>
          <cell r="L183">
            <v>-97.217359307660416</v>
          </cell>
          <cell r="N183">
            <v>919.40505166666674</v>
          </cell>
          <cell r="O183">
            <v>884.81422116753686</v>
          </cell>
          <cell r="P183">
            <v>34.590830499129723</v>
          </cell>
          <cell r="R183">
            <v>3124.9928883333332</v>
          </cell>
          <cell r="S183">
            <v>3226.3470783333332</v>
          </cell>
          <cell r="T183">
            <v>-101.35419000000013</v>
          </cell>
          <cell r="V183">
            <v>21233.247165833334</v>
          </cell>
          <cell r="W183">
            <v>21052.822663906478</v>
          </cell>
          <cell r="X183">
            <v>180.42450192685459</v>
          </cell>
        </row>
        <row r="185">
          <cell r="A185" t="str">
            <v>Bay of Plenty DHB</v>
          </cell>
          <cell r="B185">
            <v>284.58333333333331</v>
          </cell>
          <cell r="C185">
            <v>294</v>
          </cell>
          <cell r="D185">
            <v>-9.4166666666666661</v>
          </cell>
          <cell r="F185">
            <v>1096.25</v>
          </cell>
          <cell r="G185">
            <v>1029.5833333333333</v>
          </cell>
          <cell r="H185">
            <v>66.666666666666671</v>
          </cell>
          <cell r="J185">
            <v>434.08333333333331</v>
          </cell>
          <cell r="K185">
            <v>439</v>
          </cell>
          <cell r="L185">
            <v>-4.916666666666667</v>
          </cell>
          <cell r="N185">
            <v>131.75</v>
          </cell>
          <cell r="O185">
            <v>138</v>
          </cell>
          <cell r="P185">
            <v>-6.25</v>
          </cell>
          <cell r="R185">
            <v>447.08333333333331</v>
          </cell>
          <cell r="S185">
            <v>448.5</v>
          </cell>
          <cell r="T185">
            <v>-1.4166666666666667</v>
          </cell>
          <cell r="V185">
            <v>2393.75</v>
          </cell>
          <cell r="W185">
            <v>2349.0833333333335</v>
          </cell>
          <cell r="X185">
            <v>44.666666666666664</v>
          </cell>
        </row>
        <row r="186">
          <cell r="A186" t="str">
            <v>Lakes DHB</v>
          </cell>
          <cell r="B186">
            <v>143.57458333333332</v>
          </cell>
          <cell r="C186">
            <v>146.83333333333334</v>
          </cell>
          <cell r="D186">
            <v>-3.2587499999999991</v>
          </cell>
          <cell r="F186">
            <v>473.9999989166667</v>
          </cell>
          <cell r="G186">
            <v>458.25</v>
          </cell>
          <cell r="H186">
            <v>15.749998916666664</v>
          </cell>
          <cell r="J186">
            <v>184.21666666666667</v>
          </cell>
          <cell r="K186">
            <v>188</v>
          </cell>
          <cell r="L186">
            <v>-3.7833333333333337</v>
          </cell>
          <cell r="N186">
            <v>61.761666666666663</v>
          </cell>
          <cell r="O186">
            <v>60.916666666666664</v>
          </cell>
          <cell r="P186">
            <v>0.84500000000000008</v>
          </cell>
          <cell r="R186">
            <v>245.20000000000002</v>
          </cell>
          <cell r="S186">
            <v>245.58333333333334</v>
          </cell>
          <cell r="T186">
            <v>-0.38333333333333286</v>
          </cell>
          <cell r="V186">
            <v>1108.7529155833333</v>
          </cell>
          <cell r="W186">
            <v>1099.5833333333333</v>
          </cell>
          <cell r="X186">
            <v>9.1695822499999995</v>
          </cell>
        </row>
        <row r="187">
          <cell r="A187" t="str">
            <v>Tairawhiti DHB</v>
          </cell>
          <cell r="B187">
            <v>68.333333333333329</v>
          </cell>
          <cell r="C187">
            <v>70.549999999999983</v>
          </cell>
          <cell r="D187">
            <v>-2.2166666666666637</v>
          </cell>
          <cell r="F187">
            <v>258.25</v>
          </cell>
          <cell r="G187">
            <v>246.19999999999996</v>
          </cell>
          <cell r="H187">
            <v>12.050000000000011</v>
          </cell>
          <cell r="J187">
            <v>147.33333333333334</v>
          </cell>
          <cell r="K187">
            <v>156</v>
          </cell>
          <cell r="L187">
            <v>-8.6666666666666661</v>
          </cell>
          <cell r="N187">
            <v>17.333333333333332</v>
          </cell>
          <cell r="O187">
            <v>18</v>
          </cell>
          <cell r="P187">
            <v>-0.66666666666666663</v>
          </cell>
          <cell r="R187">
            <v>133.41666666666666</v>
          </cell>
          <cell r="S187">
            <v>133.09999999999997</v>
          </cell>
          <cell r="T187">
            <v>0.31666666666667237</v>
          </cell>
          <cell r="V187">
            <v>624.66666666666663</v>
          </cell>
          <cell r="W187">
            <v>623.85000000000014</v>
          </cell>
          <cell r="X187">
            <v>0.81666666666664389</v>
          </cell>
        </row>
        <row r="188">
          <cell r="A188" t="str">
            <v>Taranaki DHB</v>
          </cell>
          <cell r="B188">
            <v>146.50333333333333</v>
          </cell>
          <cell r="C188">
            <v>130</v>
          </cell>
          <cell r="D188">
            <v>16.503333333333334</v>
          </cell>
          <cell r="F188">
            <v>567.65083333333325</v>
          </cell>
          <cell r="G188">
            <v>570</v>
          </cell>
          <cell r="H188">
            <v>-2.3491666666666902</v>
          </cell>
          <cell r="J188">
            <v>222.91499999999996</v>
          </cell>
          <cell r="K188">
            <v>230</v>
          </cell>
          <cell r="L188">
            <v>-7.0850000000000035</v>
          </cell>
          <cell r="N188">
            <v>89.829166666666652</v>
          </cell>
          <cell r="O188">
            <v>85</v>
          </cell>
          <cell r="P188">
            <v>4.8291666666666666</v>
          </cell>
          <cell r="R188">
            <v>288.46916666666664</v>
          </cell>
          <cell r="S188">
            <v>302</v>
          </cell>
          <cell r="T188">
            <v>-13.530833333333328</v>
          </cell>
          <cell r="V188">
            <v>1315.3675000000001</v>
          </cell>
          <cell r="W188">
            <v>1317</v>
          </cell>
          <cell r="X188">
            <v>-1.6325000000000311</v>
          </cell>
        </row>
        <row r="189">
          <cell r="A189" t="str">
            <v>Waikato DHB</v>
          </cell>
          <cell r="B189">
            <v>649.55083333333346</v>
          </cell>
          <cell r="C189">
            <v>645</v>
          </cell>
          <cell r="D189">
            <v>4.5508333333333253</v>
          </cell>
          <cell r="F189">
            <v>2275.0008333333335</v>
          </cell>
          <cell r="G189">
            <v>2302.75</v>
          </cell>
          <cell r="H189">
            <v>-27.749166666666685</v>
          </cell>
          <cell r="J189">
            <v>940.22833333333335</v>
          </cell>
          <cell r="K189">
            <v>945.66666666666663</v>
          </cell>
          <cell r="L189">
            <v>-5.4383333333333228</v>
          </cell>
          <cell r="N189">
            <v>320.28000000000003</v>
          </cell>
          <cell r="O189">
            <v>295.33333333333331</v>
          </cell>
          <cell r="P189">
            <v>24.946666666666658</v>
          </cell>
          <cell r="R189">
            <v>1067.6325000000002</v>
          </cell>
          <cell r="S189">
            <v>1066.6666666666667</v>
          </cell>
          <cell r="T189">
            <v>0.96583333333328858</v>
          </cell>
          <cell r="V189">
            <v>5252.6924999999992</v>
          </cell>
          <cell r="W189">
            <v>5255.416666666667</v>
          </cell>
          <cell r="X189">
            <v>-2.7241666666666333</v>
          </cell>
        </row>
        <row r="190">
          <cell r="A190" t="str">
            <v>Midland Region Total</v>
          </cell>
          <cell r="B190">
            <v>1292.5454166666668</v>
          </cell>
          <cell r="C190">
            <v>1286.3833333333332</v>
          </cell>
          <cell r="D190">
            <v>6.1620833333333307</v>
          </cell>
          <cell r="F190">
            <v>4671.1516655833329</v>
          </cell>
          <cell r="G190">
            <v>4606.7833333333328</v>
          </cell>
          <cell r="H190">
            <v>64.36833224999998</v>
          </cell>
          <cell r="J190">
            <v>1928.7766666666666</v>
          </cell>
          <cell r="K190">
            <v>1958.6666666666665</v>
          </cell>
          <cell r="L190">
            <v>-29.889999999999993</v>
          </cell>
          <cell r="N190">
            <v>620.95416666666665</v>
          </cell>
          <cell r="O190">
            <v>597.25</v>
          </cell>
          <cell r="P190">
            <v>23.704166666666659</v>
          </cell>
          <cell r="R190">
            <v>2181.8016666666667</v>
          </cell>
          <cell r="S190">
            <v>2195.8500000000004</v>
          </cell>
          <cell r="T190">
            <v>-14.048333333333368</v>
          </cell>
          <cell r="V190">
            <v>10695.22958225</v>
          </cell>
          <cell r="W190">
            <v>10644.933333333334</v>
          </cell>
          <cell r="X190">
            <v>50.296248916666642</v>
          </cell>
        </row>
        <row r="192">
          <cell r="A192" t="str">
            <v>Capital &amp; Coast DHB</v>
          </cell>
          <cell r="B192">
            <v>671.13230832199997</v>
          </cell>
          <cell r="C192">
            <v>707.01615833333324</v>
          </cell>
          <cell r="D192">
            <v>-35.883850011333237</v>
          </cell>
          <cell r="F192">
            <v>1989.7401751697498</v>
          </cell>
          <cell r="G192">
            <v>1942.4015666666671</v>
          </cell>
          <cell r="H192">
            <v>47.3386085030833</v>
          </cell>
          <cell r="J192">
            <v>721.31117635008331</v>
          </cell>
          <cell r="K192">
            <v>741.78470000000004</v>
          </cell>
          <cell r="L192">
            <v>-20.473523649916661</v>
          </cell>
          <cell r="N192">
            <v>182.49631148441668</v>
          </cell>
          <cell r="O192">
            <v>179.89627500000003</v>
          </cell>
          <cell r="P192">
            <v>2.6000364844166626</v>
          </cell>
          <cell r="R192">
            <v>803.66480539083341</v>
          </cell>
          <cell r="S192">
            <v>819.50316666666652</v>
          </cell>
          <cell r="T192">
            <v>-15.838361275833327</v>
          </cell>
          <cell r="V192">
            <v>4368.3447767170828</v>
          </cell>
          <cell r="W192">
            <v>4390.6018666666669</v>
          </cell>
          <cell r="X192">
            <v>-22.257089949583285</v>
          </cell>
        </row>
        <row r="193">
          <cell r="A193" t="str">
            <v>Hawke's Bay DHB</v>
          </cell>
          <cell r="B193">
            <v>272.15666666666669</v>
          </cell>
          <cell r="C193">
            <v>263.21137953187832</v>
          </cell>
          <cell r="D193">
            <v>8.9452871347883374</v>
          </cell>
          <cell r="F193">
            <v>833.12083333333339</v>
          </cell>
          <cell r="G193">
            <v>829.51667199169003</v>
          </cell>
          <cell r="H193">
            <v>3.6041613416432483</v>
          </cell>
          <cell r="J193">
            <v>393.58500000000004</v>
          </cell>
          <cell r="K193">
            <v>409.09946075770137</v>
          </cell>
          <cell r="L193">
            <v>-15.51446075770132</v>
          </cell>
          <cell r="N193">
            <v>140.92666666666665</v>
          </cell>
          <cell r="O193">
            <v>139.39892988714993</v>
          </cell>
          <cell r="P193">
            <v>1.527736779516746</v>
          </cell>
          <cell r="R193">
            <v>394.15249999999997</v>
          </cell>
          <cell r="S193">
            <v>388.02912643447274</v>
          </cell>
          <cell r="T193">
            <v>6.1233735655272312</v>
          </cell>
          <cell r="V193">
            <v>2033.9416666666666</v>
          </cell>
          <cell r="W193">
            <v>2029.2555686028925</v>
          </cell>
          <cell r="X193">
            <v>4.6860980637742768</v>
          </cell>
        </row>
        <row r="194">
          <cell r="A194" t="str">
            <v>Hutt Valley DHB</v>
          </cell>
          <cell r="B194">
            <v>237.77416666666667</v>
          </cell>
          <cell r="C194">
            <v>236.60527359334583</v>
          </cell>
          <cell r="D194">
            <v>1.1688930733207907</v>
          </cell>
          <cell r="F194">
            <v>711.53166666666675</v>
          </cell>
          <cell r="G194">
            <v>706.98675362481254</v>
          </cell>
          <cell r="H194">
            <v>4.5449130418540449</v>
          </cell>
          <cell r="J194">
            <v>421.96833333333342</v>
          </cell>
          <cell r="K194">
            <v>448.9874162588888</v>
          </cell>
          <cell r="L194">
            <v>-27.019082925555526</v>
          </cell>
          <cell r="N194">
            <v>136.36416666666668</v>
          </cell>
          <cell r="O194">
            <v>128.66564192584019</v>
          </cell>
          <cell r="P194">
            <v>7.6985247408264739</v>
          </cell>
          <cell r="R194">
            <v>343.87916666666666</v>
          </cell>
          <cell r="S194">
            <v>353.05649347170691</v>
          </cell>
          <cell r="T194">
            <v>-9.1773268050402148</v>
          </cell>
          <cell r="V194">
            <v>1851.5174999999999</v>
          </cell>
          <cell r="W194">
            <v>1874.3015788745945</v>
          </cell>
          <cell r="X194">
            <v>-22.784078874594382</v>
          </cell>
        </row>
        <row r="195">
          <cell r="A195" t="str">
            <v>MidCentral DHB</v>
          </cell>
          <cell r="B195">
            <v>275.33750000000003</v>
          </cell>
          <cell r="C195">
            <v>282.84999999999997</v>
          </cell>
          <cell r="D195">
            <v>-7.5125000000000357</v>
          </cell>
          <cell r="F195">
            <v>914.65083333333325</v>
          </cell>
          <cell r="G195">
            <v>918.66999999999837</v>
          </cell>
          <cell r="H195">
            <v>-4.019166666665039</v>
          </cell>
          <cell r="J195">
            <v>375.72</v>
          </cell>
          <cell r="K195">
            <v>374.935</v>
          </cell>
          <cell r="L195">
            <v>0.78499999999999659</v>
          </cell>
          <cell r="N195">
            <v>43.664166666666667</v>
          </cell>
          <cell r="O195">
            <v>43.68</v>
          </cell>
          <cell r="P195">
            <v>-1.5833333333333144E-2</v>
          </cell>
          <cell r="R195">
            <v>487.31583333333327</v>
          </cell>
          <cell r="S195">
            <v>510.98999999999984</v>
          </cell>
          <cell r="T195">
            <v>-23.674166666666679</v>
          </cell>
          <cell r="V195">
            <v>2096.688333333333</v>
          </cell>
          <cell r="W195">
            <v>2131.1249999999986</v>
          </cell>
          <cell r="X195">
            <v>-34.436666666664827</v>
          </cell>
        </row>
        <row r="196">
          <cell r="A196" t="str">
            <v>Wairarapa DHB</v>
          </cell>
          <cell r="B196">
            <v>37.641666666666666</v>
          </cell>
          <cell r="C196">
            <v>43.204583333333261</v>
          </cell>
          <cell r="D196">
            <v>-5.5629166666665952</v>
          </cell>
          <cell r="F196">
            <v>197.71666666666667</v>
          </cell>
          <cell r="G196">
            <v>188.69525000000036</v>
          </cell>
          <cell r="H196">
            <v>9.0214166666662958</v>
          </cell>
          <cell r="J196">
            <v>85.24166666666666</v>
          </cell>
          <cell r="K196">
            <v>95.753750000000096</v>
          </cell>
          <cell r="L196">
            <v>-10.512083333333441</v>
          </cell>
          <cell r="N196">
            <v>12.833333333333334</v>
          </cell>
          <cell r="O196">
            <v>12.745249999999999</v>
          </cell>
          <cell r="P196">
            <v>8.8083333333333222E-2</v>
          </cell>
          <cell r="R196">
            <v>107.52500000000002</v>
          </cell>
          <cell r="S196">
            <v>112.10866666666681</v>
          </cell>
          <cell r="T196">
            <v>-4.5836666666668284</v>
          </cell>
          <cell r="V196">
            <v>440.95833333333331</v>
          </cell>
          <cell r="W196">
            <v>452.50750000000056</v>
          </cell>
          <cell r="X196">
            <v>-11.549166666667256</v>
          </cell>
        </row>
        <row r="197">
          <cell r="A197" t="str">
            <v>Whanganui DHB</v>
          </cell>
          <cell r="B197">
            <v>86.68</v>
          </cell>
          <cell r="C197">
            <v>92.095000000000013</v>
          </cell>
          <cell r="D197">
            <v>-5.4149999999999983</v>
          </cell>
          <cell r="F197">
            <v>391.39499999999998</v>
          </cell>
          <cell r="G197">
            <v>388.815</v>
          </cell>
          <cell r="H197">
            <v>2.5800000000000032</v>
          </cell>
          <cell r="J197">
            <v>131.10499999999999</v>
          </cell>
          <cell r="K197">
            <v>138.58750000000001</v>
          </cell>
          <cell r="L197">
            <v>-7.4825000000000079</v>
          </cell>
          <cell r="N197">
            <v>17.735833333333332</v>
          </cell>
          <cell r="O197">
            <v>18.765000000000001</v>
          </cell>
          <cell r="P197">
            <v>-1.029166666666667</v>
          </cell>
          <cell r="R197">
            <v>171.46916666666664</v>
          </cell>
          <cell r="S197">
            <v>170.24666666666667</v>
          </cell>
          <cell r="T197">
            <v>1.2225000000000013</v>
          </cell>
          <cell r="V197">
            <v>798.3850000000001</v>
          </cell>
          <cell r="W197">
            <v>808.5091666666666</v>
          </cell>
          <cell r="X197">
            <v>-10.124166666666611</v>
          </cell>
        </row>
        <row r="198">
          <cell r="A198" t="str">
            <v>Central Region Total</v>
          </cell>
          <cell r="B198">
            <v>1580.7223083220001</v>
          </cell>
          <cell r="C198">
            <v>1624.9823947918906</v>
          </cell>
          <cell r="D198">
            <v>-44.260086469890737</v>
          </cell>
          <cell r="F198">
            <v>5038.1551751697498</v>
          </cell>
          <cell r="G198">
            <v>4975.0852422831686</v>
          </cell>
          <cell r="H198">
            <v>63.06993288658186</v>
          </cell>
          <cell r="J198">
            <v>2128.9311763500832</v>
          </cell>
          <cell r="K198">
            <v>2209.1478270165903</v>
          </cell>
          <cell r="L198">
            <v>-80.216650666506951</v>
          </cell>
          <cell r="N198">
            <v>534.02047815108335</v>
          </cell>
          <cell r="O198">
            <v>523.1510968129902</v>
          </cell>
          <cell r="P198">
            <v>10.869381338093216</v>
          </cell>
          <cell r="R198">
            <v>2308.0064720575001</v>
          </cell>
          <cell r="S198">
            <v>2353.9341199061801</v>
          </cell>
          <cell r="T198">
            <v>-45.927647848679818</v>
          </cell>
          <cell r="V198">
            <v>11589.835610050417</v>
          </cell>
          <cell r="W198">
            <v>11686.300680810818</v>
          </cell>
          <cell r="X198">
            <v>-96.465070760402099</v>
          </cell>
        </row>
        <row r="200">
          <cell r="A200" t="str">
            <v>Canterbury DHB</v>
          </cell>
          <cell r="B200">
            <v>843.67916666666667</v>
          </cell>
          <cell r="C200">
            <v>848</v>
          </cell>
          <cell r="D200">
            <v>-4.3208333333333355</v>
          </cell>
          <cell r="F200">
            <v>3343.2333333333331</v>
          </cell>
          <cell r="G200">
            <v>3336</v>
          </cell>
          <cell r="H200">
            <v>7.2333333333330456</v>
          </cell>
          <cell r="J200">
            <v>1366.9983333333332</v>
          </cell>
          <cell r="K200">
            <v>1357</v>
          </cell>
          <cell r="L200">
            <v>9.9983333333333917</v>
          </cell>
          <cell r="N200">
            <v>334.7408333333334</v>
          </cell>
          <cell r="O200">
            <v>347.99999999999994</v>
          </cell>
          <cell r="P200">
            <v>-13.259166666666649</v>
          </cell>
          <cell r="R200">
            <v>1125.3466666666666</v>
          </cell>
          <cell r="S200">
            <v>1110</v>
          </cell>
          <cell r="T200">
            <v>15.346666666666616</v>
          </cell>
          <cell r="V200">
            <v>7013.9983333333339</v>
          </cell>
          <cell r="W200">
            <v>6999</v>
          </cell>
          <cell r="X200">
            <v>14.998333333332615</v>
          </cell>
        </row>
        <row r="201">
          <cell r="A201" t="str">
            <v>Nelson Marlborough DHB</v>
          </cell>
          <cell r="B201">
            <v>181.12999999999997</v>
          </cell>
          <cell r="C201">
            <v>174.77916666666667</v>
          </cell>
          <cell r="D201">
            <v>6.3508333333333367</v>
          </cell>
          <cell r="F201">
            <v>652.22666666666657</v>
          </cell>
          <cell r="G201">
            <v>640.12916666666672</v>
          </cell>
          <cell r="H201">
            <v>12.097499999999977</v>
          </cell>
          <cell r="J201">
            <v>580.5291666666667</v>
          </cell>
          <cell r="K201">
            <v>586.88166666666655</v>
          </cell>
          <cell r="L201">
            <v>-6.352499999999992</v>
          </cell>
          <cell r="N201">
            <v>99.051666666666662</v>
          </cell>
          <cell r="O201">
            <v>98.644166666666649</v>
          </cell>
          <cell r="P201">
            <v>0.40750000000000242</v>
          </cell>
          <cell r="R201">
            <v>340.47037693900006</v>
          </cell>
          <cell r="S201">
            <v>332.98250000000002</v>
          </cell>
          <cell r="T201">
            <v>7.4878769389999933</v>
          </cell>
          <cell r="V201">
            <v>1853.4078769390001</v>
          </cell>
          <cell r="W201">
            <v>1833.4166666666663</v>
          </cell>
          <cell r="X201">
            <v>19.991210272333358</v>
          </cell>
        </row>
        <row r="202">
          <cell r="A202" t="str">
            <v>South Canterbury DHB</v>
          </cell>
          <cell r="B202">
            <v>54.833333333333336</v>
          </cell>
          <cell r="C202">
            <v>58</v>
          </cell>
          <cell r="D202">
            <v>-3.1666666666666665</v>
          </cell>
          <cell r="F202">
            <v>329.16666666666669</v>
          </cell>
          <cell r="G202">
            <v>314</v>
          </cell>
          <cell r="H202">
            <v>15.166666666666666</v>
          </cell>
          <cell r="J202">
            <v>97.916666666666671</v>
          </cell>
          <cell r="K202">
            <v>105</v>
          </cell>
          <cell r="L202">
            <v>-7.083333333333333</v>
          </cell>
          <cell r="N202">
            <v>59.416666666666664</v>
          </cell>
          <cell r="O202">
            <v>56</v>
          </cell>
          <cell r="P202">
            <v>3.4166666666666665</v>
          </cell>
          <cell r="R202">
            <v>121.75</v>
          </cell>
          <cell r="S202">
            <v>120.79999999999997</v>
          </cell>
          <cell r="T202">
            <v>0.95000000000000284</v>
          </cell>
          <cell r="V202">
            <v>663.08333333333337</v>
          </cell>
          <cell r="W202">
            <v>653.80000000000007</v>
          </cell>
          <cell r="X202">
            <v>9.2833333333333794</v>
          </cell>
        </row>
        <row r="203">
          <cell r="A203" t="str">
            <v>Southern DHB</v>
          </cell>
          <cell r="B203">
            <v>467.5</v>
          </cell>
          <cell r="C203">
            <v>452.13333333333344</v>
          </cell>
          <cell r="D203">
            <v>15.366666666666655</v>
          </cell>
          <cell r="F203">
            <v>1555.25</v>
          </cell>
          <cell r="G203">
            <v>1563.8399999999976</v>
          </cell>
          <cell r="H203">
            <v>-8.5899999999976817</v>
          </cell>
          <cell r="J203">
            <v>680</v>
          </cell>
          <cell r="K203">
            <v>696.06499999999903</v>
          </cell>
          <cell r="L203">
            <v>-16.064999999999031</v>
          </cell>
          <cell r="N203">
            <v>189.58333333333334</v>
          </cell>
          <cell r="O203">
            <v>195.84000000000003</v>
          </cell>
          <cell r="P203">
            <v>-6.2566666666666704</v>
          </cell>
          <cell r="R203">
            <v>690.25</v>
          </cell>
          <cell r="S203">
            <v>689.22999999999911</v>
          </cell>
          <cell r="T203">
            <v>1.0200000000010145</v>
          </cell>
          <cell r="V203">
            <v>3582.5833333333335</v>
          </cell>
          <cell r="W203">
            <v>3597.1083333333295</v>
          </cell>
          <cell r="X203">
            <v>-14.524999999995734</v>
          </cell>
        </row>
        <row r="204">
          <cell r="A204" t="str">
            <v>West Coast DHB</v>
          </cell>
          <cell r="B204">
            <v>35.74916666666666</v>
          </cell>
          <cell r="C204">
            <v>41.399999999999991</v>
          </cell>
          <cell r="D204">
            <v>-5.650833333333332</v>
          </cell>
          <cell r="F204">
            <v>290.45583333333332</v>
          </cell>
          <cell r="G204">
            <v>310.90000000000003</v>
          </cell>
          <cell r="H204">
            <v>-20.444166666666643</v>
          </cell>
          <cell r="J204">
            <v>143.76750000000001</v>
          </cell>
          <cell r="K204">
            <v>161.40000000000003</v>
          </cell>
          <cell r="L204">
            <v>-17.632500000000004</v>
          </cell>
          <cell r="N204">
            <v>44.669166666666676</v>
          </cell>
          <cell r="O204">
            <v>43.699999999999996</v>
          </cell>
          <cell r="P204">
            <v>0.96916666666666451</v>
          </cell>
          <cell r="R204">
            <v>120.64166666666665</v>
          </cell>
          <cell r="S204">
            <v>133.59999999999997</v>
          </cell>
          <cell r="T204">
            <v>-12.958333333333323</v>
          </cell>
          <cell r="V204">
            <v>635.2833333333333</v>
          </cell>
          <cell r="W204">
            <v>691</v>
          </cell>
          <cell r="X204">
            <v>-55.716666666666676</v>
          </cell>
        </row>
        <row r="205">
          <cell r="A205" t="str">
            <v>Southern Region Total</v>
          </cell>
          <cell r="B205">
            <v>1582.8916666666667</v>
          </cell>
          <cell r="C205">
            <v>1574.3125000000002</v>
          </cell>
          <cell r="D205">
            <v>8.5791666666666586</v>
          </cell>
          <cell r="F205">
            <v>6170.3324999999995</v>
          </cell>
          <cell r="G205">
            <v>6164.8691666666637</v>
          </cell>
          <cell r="H205">
            <v>5.4633333333353669</v>
          </cell>
          <cell r="J205">
            <v>2869.2116666666666</v>
          </cell>
          <cell r="K205">
            <v>2906.3466666666659</v>
          </cell>
          <cell r="L205">
            <v>-37.134999999998968</v>
          </cell>
          <cell r="N205">
            <v>727.46166666666682</v>
          </cell>
          <cell r="O205">
            <v>742.18416666666667</v>
          </cell>
          <cell r="P205">
            <v>-14.722499999999988</v>
          </cell>
          <cell r="R205">
            <v>2398.4587102723335</v>
          </cell>
          <cell r="S205">
            <v>2386.6124999999988</v>
          </cell>
          <cell r="T205">
            <v>11.846210272334305</v>
          </cell>
          <cell r="V205">
            <v>13748.356210272335</v>
          </cell>
          <cell r="W205">
            <v>13774.324999999995</v>
          </cell>
          <cell r="X205">
            <v>-25.968789727663058</v>
          </cell>
        </row>
        <row r="207">
          <cell r="A207" t="str">
            <v>TOTAL</v>
          </cell>
          <cell r="B207">
            <v>7884.0824516553339</v>
          </cell>
          <cell r="C207">
            <v>7876.1100534996949</v>
          </cell>
          <cell r="D207">
            <v>7.9723981556394392</v>
          </cell>
          <cell r="F207">
            <v>25046.573303253081</v>
          </cell>
          <cell r="G207">
            <v>24606.757718673311</v>
          </cell>
          <cell r="H207">
            <v>439.81558457976979</v>
          </cell>
          <cell r="J207">
            <v>11520.911713016751</v>
          </cell>
          <cell r="K207">
            <v>11765.370722990918</v>
          </cell>
          <cell r="L207">
            <v>-244.45900997416706</v>
          </cell>
          <cell r="N207">
            <v>2801.8413631510834</v>
          </cell>
          <cell r="O207">
            <v>2747.3994846471942</v>
          </cell>
          <cell r="P207">
            <v>54.441878503889825</v>
          </cell>
          <cell r="R207">
            <v>10013.259737329832</v>
          </cell>
          <cell r="S207">
            <v>10162.743698239512</v>
          </cell>
          <cell r="T207">
            <v>-149.48396090967935</v>
          </cell>
          <cell r="V207">
            <v>57266.668568406087</v>
          </cell>
          <cell r="W207">
            <v>57158.381678050624</v>
          </cell>
          <cell r="X207">
            <v>108.28689035546206</v>
          </cell>
        </row>
        <row r="226">
          <cell r="A226" t="str">
            <v>Auckland DHB</v>
          </cell>
          <cell r="B226">
            <v>1554.4408333333333</v>
          </cell>
          <cell r="C226">
            <v>1546.5131355975718</v>
          </cell>
          <cell r="D226">
            <v>7.92769773576138</v>
          </cell>
          <cell r="F226">
            <v>3252.9691666666672</v>
          </cell>
          <cell r="G226">
            <v>3392.6652597953957</v>
          </cell>
          <cell r="H226">
            <v>-139.69609312872865</v>
          </cell>
          <cell r="J226">
            <v>1643.2483333333337</v>
          </cell>
          <cell r="K226">
            <v>1835.7118669592003</v>
          </cell>
          <cell r="L226">
            <v>-192.4635336258672</v>
          </cell>
          <cell r="N226">
            <v>319.28083333333331</v>
          </cell>
          <cell r="O226">
            <v>190.4899309953347</v>
          </cell>
          <cell r="P226">
            <v>128.79090233799863</v>
          </cell>
          <cell r="R226">
            <v>1106.9766666666667</v>
          </cell>
          <cell r="S226">
            <v>1119.5357196441794</v>
          </cell>
          <cell r="T226">
            <v>-12.559052977512673</v>
          </cell>
          <cell r="V226">
            <v>7876.9158333333326</v>
          </cell>
          <cell r="W226">
            <v>8084.9159129916816</v>
          </cell>
          <cell r="X226">
            <v>-208.00007965834848</v>
          </cell>
        </row>
        <row r="227">
          <cell r="A227" t="str">
            <v>Counties Manukau DHB</v>
          </cell>
          <cell r="B227">
            <v>963.58333333333337</v>
          </cell>
          <cell r="C227">
            <v>948.38333333333321</v>
          </cell>
          <cell r="D227">
            <v>15.200000000000045</v>
          </cell>
          <cell r="F227">
            <v>2622.25</v>
          </cell>
          <cell r="G227">
            <v>2462.9166666666665</v>
          </cell>
          <cell r="H227">
            <v>159.33333333333334</v>
          </cell>
          <cell r="J227">
            <v>1090.9166666666667</v>
          </cell>
          <cell r="K227">
            <v>1087.4166666666667</v>
          </cell>
          <cell r="L227">
            <v>3.5</v>
          </cell>
          <cell r="N227">
            <v>430.16666666666669</v>
          </cell>
          <cell r="O227">
            <v>364.75</v>
          </cell>
          <cell r="P227">
            <v>65.416666666666671</v>
          </cell>
          <cell r="R227">
            <v>816.41666666666663</v>
          </cell>
          <cell r="S227">
            <v>874.38333333333321</v>
          </cell>
          <cell r="T227">
            <v>-57.966666666666619</v>
          </cell>
          <cell r="V227">
            <v>5923.333333333333</v>
          </cell>
          <cell r="W227">
            <v>5737.8499999999995</v>
          </cell>
          <cell r="X227">
            <v>185.48333333333298</v>
          </cell>
        </row>
        <row r="228">
          <cell r="A228" t="str">
            <v>Northland DHB</v>
          </cell>
          <cell r="B228">
            <v>235.80343333333337</v>
          </cell>
          <cell r="C228">
            <v>246.78499999999994</v>
          </cell>
          <cell r="D228">
            <v>-10.981566666666671</v>
          </cell>
          <cell r="F228">
            <v>964.85949166666671</v>
          </cell>
          <cell r="G228">
            <v>916.93416666666656</v>
          </cell>
          <cell r="H228">
            <v>47.925324999999987</v>
          </cell>
          <cell r="J228">
            <v>461.9860250000001</v>
          </cell>
          <cell r="K228">
            <v>472.61666666666662</v>
          </cell>
          <cell r="L228">
            <v>-10.630641666666671</v>
          </cell>
          <cell r="N228">
            <v>78.558999999999983</v>
          </cell>
          <cell r="O228">
            <v>80.100000000000009</v>
          </cell>
          <cell r="P228">
            <v>-1.5410000000000015</v>
          </cell>
          <cell r="R228">
            <v>360.31251666666662</v>
          </cell>
          <cell r="S228">
            <v>365.12999999999994</v>
          </cell>
          <cell r="T228">
            <v>-4.8174833333333043</v>
          </cell>
          <cell r="V228">
            <v>2101.5204666666664</v>
          </cell>
          <cell r="W228">
            <v>2081.5658333333326</v>
          </cell>
          <cell r="X228">
            <v>19.954633333333259</v>
          </cell>
        </row>
        <row r="229">
          <cell r="A229" t="str">
            <v>Waitemata DHB</v>
          </cell>
          <cell r="B229">
            <v>826.74583333333339</v>
          </cell>
          <cell r="C229">
            <v>845.75</v>
          </cell>
          <cell r="D229">
            <v>-19.004166666666663</v>
          </cell>
          <cell r="F229">
            <v>2479.123333333333</v>
          </cell>
          <cell r="G229">
            <v>2494.2916666666665</v>
          </cell>
          <cell r="H229">
            <v>-15.168333333333408</v>
          </cell>
          <cell r="J229">
            <v>1422.5033333333333</v>
          </cell>
          <cell r="K229">
            <v>1511.25</v>
          </cell>
          <cell r="L229">
            <v>-88.74666666666667</v>
          </cell>
          <cell r="N229">
            <v>266.94666666666666</v>
          </cell>
          <cell r="O229">
            <v>333.34916666666669</v>
          </cell>
          <cell r="P229">
            <v>-66.402499999999975</v>
          </cell>
          <cell r="R229">
            <v>801.87666666666667</v>
          </cell>
          <cell r="S229">
            <v>819.99749999999995</v>
          </cell>
          <cell r="T229">
            <v>-18.120833333333128</v>
          </cell>
          <cell r="V229">
            <v>5797.1958333333341</v>
          </cell>
          <cell r="W229">
            <v>6004.6383333333333</v>
          </cell>
          <cell r="X229">
            <v>-207.44250000000019</v>
          </cell>
        </row>
        <row r="230">
          <cell r="A230" t="str">
            <v>Northern Region Total</v>
          </cell>
          <cell r="B230">
            <v>3580.5734333333335</v>
          </cell>
          <cell r="C230">
            <v>3587.4314689309049</v>
          </cell>
          <cell r="D230">
            <v>-6.8580355975719076</v>
          </cell>
          <cell r="F230">
            <v>9319.2019916666686</v>
          </cell>
          <cell r="G230">
            <v>9266.8077597953961</v>
          </cell>
          <cell r="H230">
            <v>52.394231871271273</v>
          </cell>
          <cell r="J230">
            <v>4618.6543583333341</v>
          </cell>
          <cell r="K230">
            <v>4906.9952002925338</v>
          </cell>
          <cell r="L230">
            <v>-288.34084195920053</v>
          </cell>
          <cell r="N230">
            <v>1094.9531666666667</v>
          </cell>
          <cell r="O230">
            <v>968.68909766200136</v>
          </cell>
          <cell r="P230">
            <v>126.26406900466532</v>
          </cell>
          <cell r="R230">
            <v>3085.5825166666668</v>
          </cell>
          <cell r="S230">
            <v>3179.0465529775124</v>
          </cell>
          <cell r="T230">
            <v>-93.464036310845714</v>
          </cell>
          <cell r="V230">
            <v>21698.965466666665</v>
          </cell>
          <cell r="W230">
            <v>21908.970079658346</v>
          </cell>
          <cell r="X230">
            <v>-210.00461299168245</v>
          </cell>
        </row>
        <row r="232">
          <cell r="A232" t="str">
            <v>Bay of Plenty DHB</v>
          </cell>
          <cell r="B232">
            <v>287.08333333333331</v>
          </cell>
          <cell r="C232">
            <v>297</v>
          </cell>
          <cell r="D232">
            <v>-9.9166666666666661</v>
          </cell>
          <cell r="F232">
            <v>1091.5</v>
          </cell>
          <cell r="G232">
            <v>1050</v>
          </cell>
          <cell r="H232">
            <v>41.5</v>
          </cell>
          <cell r="J232">
            <v>439.83333333333331</v>
          </cell>
          <cell r="K232">
            <v>446.08333333333331</v>
          </cell>
          <cell r="L232">
            <v>-6.25</v>
          </cell>
          <cell r="N232">
            <v>120.25</v>
          </cell>
          <cell r="O232">
            <v>116</v>
          </cell>
          <cell r="P232">
            <v>4.25</v>
          </cell>
          <cell r="R232">
            <v>452.08333333333331</v>
          </cell>
          <cell r="S232">
            <v>443</v>
          </cell>
          <cell r="T232">
            <v>9.0833333333333339</v>
          </cell>
          <cell r="V232">
            <v>2390.75</v>
          </cell>
          <cell r="W232">
            <v>2352.0833333333335</v>
          </cell>
          <cell r="X232">
            <v>38.666666666666664</v>
          </cell>
        </row>
        <row r="233">
          <cell r="A233" t="str">
            <v>Lakes DHB</v>
          </cell>
          <cell r="B233">
            <v>145</v>
          </cell>
          <cell r="C233">
            <v>149.06833333333338</v>
          </cell>
          <cell r="D233">
            <v>-4.068333333333392</v>
          </cell>
          <cell r="F233">
            <v>464.91666666666669</v>
          </cell>
          <cell r="G233">
            <v>453.47083333333262</v>
          </cell>
          <cell r="H233">
            <v>11.445833333334027</v>
          </cell>
          <cell r="J233">
            <v>177.91666666666666</v>
          </cell>
          <cell r="K233">
            <v>186.24999999999997</v>
          </cell>
          <cell r="L233">
            <v>-8.3333333333332913</v>
          </cell>
          <cell r="N233">
            <v>62.916666666666664</v>
          </cell>
          <cell r="O233">
            <v>61.314166666666644</v>
          </cell>
          <cell r="P233">
            <v>1.6025000000000162</v>
          </cell>
          <cell r="R233">
            <v>238.83333333333334</v>
          </cell>
          <cell r="S233">
            <v>243.17083333333326</v>
          </cell>
          <cell r="T233">
            <v>-4.3374999999999391</v>
          </cell>
          <cell r="V233">
            <v>1089.5833333333333</v>
          </cell>
          <cell r="W233">
            <v>1093.2741666666659</v>
          </cell>
          <cell r="X233">
            <v>-3.6908333333325722</v>
          </cell>
        </row>
        <row r="234">
          <cell r="A234" t="str">
            <v>Tairawhiti DHB</v>
          </cell>
          <cell r="B234">
            <v>69.5</v>
          </cell>
          <cell r="C234">
            <v>68.100000000000009</v>
          </cell>
          <cell r="D234">
            <v>1.4000000000000057</v>
          </cell>
          <cell r="F234">
            <v>263.91666666666669</v>
          </cell>
          <cell r="G234">
            <v>254</v>
          </cell>
          <cell r="H234">
            <v>9.9166666666666661</v>
          </cell>
          <cell r="J234">
            <v>146.25</v>
          </cell>
          <cell r="K234">
            <v>149</v>
          </cell>
          <cell r="L234">
            <v>-2.75</v>
          </cell>
          <cell r="N234">
            <v>17.166666666666668</v>
          </cell>
          <cell r="O234">
            <v>18.449999999999996</v>
          </cell>
          <cell r="P234">
            <v>-1.2833333333333325</v>
          </cell>
          <cell r="R234">
            <v>146.08333333333334</v>
          </cell>
          <cell r="S234">
            <v>132.86000000000004</v>
          </cell>
          <cell r="T234">
            <v>13.22333333333332</v>
          </cell>
          <cell r="V234">
            <v>642.91666666666663</v>
          </cell>
          <cell r="W234">
            <v>622.41</v>
          </cell>
          <cell r="X234">
            <v>20.506666666666586</v>
          </cell>
        </row>
        <row r="235">
          <cell r="A235" t="str">
            <v>Taranaki DHB</v>
          </cell>
          <cell r="B235">
            <v>143.83750000000001</v>
          </cell>
          <cell r="C235">
            <v>161.00147581857516</v>
          </cell>
          <cell r="D235">
            <v>-17.16397581857515</v>
          </cell>
          <cell r="F235">
            <v>572.23</v>
          </cell>
          <cell r="G235">
            <v>549.97331357468283</v>
          </cell>
          <cell r="H235">
            <v>22.256686425317202</v>
          </cell>
          <cell r="J235">
            <v>231.70833333333329</v>
          </cell>
          <cell r="K235">
            <v>229.84792488522851</v>
          </cell>
          <cell r="L235">
            <v>1.8604084481048251</v>
          </cell>
          <cell r="N235">
            <v>88.585833333333326</v>
          </cell>
          <cell r="O235">
            <v>84</v>
          </cell>
          <cell r="P235">
            <v>4.5858333333333334</v>
          </cell>
          <cell r="R235">
            <v>289.39333333333337</v>
          </cell>
          <cell r="S235">
            <v>303.05828970331589</v>
          </cell>
          <cell r="T235">
            <v>-13.664956369982548</v>
          </cell>
          <cell r="V235">
            <v>1325.7550000000001</v>
          </cell>
          <cell r="W235">
            <v>1327.8810039818022</v>
          </cell>
          <cell r="X235">
            <v>-2.1260039818023606</v>
          </cell>
        </row>
        <row r="236">
          <cell r="A236" t="str">
            <v>Waikato DHB</v>
          </cell>
          <cell r="B236">
            <v>676.34333333333336</v>
          </cell>
          <cell r="C236">
            <v>676.91666666666663</v>
          </cell>
          <cell r="D236">
            <v>-0.57333333333333292</v>
          </cell>
          <cell r="F236">
            <v>2290.3183333333336</v>
          </cell>
          <cell r="G236">
            <v>2293.9166666666665</v>
          </cell>
          <cell r="H236">
            <v>-3.5983333333333198</v>
          </cell>
          <cell r="J236">
            <v>946.625</v>
          </cell>
          <cell r="K236">
            <v>996</v>
          </cell>
          <cell r="L236">
            <v>-49.375</v>
          </cell>
          <cell r="N236">
            <v>334.41500000000002</v>
          </cell>
          <cell r="O236">
            <v>337.08333333333331</v>
          </cell>
          <cell r="P236">
            <v>-2.6683333333333317</v>
          </cell>
          <cell r="R236">
            <v>1048.9799999999998</v>
          </cell>
          <cell r="S236">
            <v>1069.5833333333333</v>
          </cell>
          <cell r="T236">
            <v>-20.603333333333335</v>
          </cell>
          <cell r="V236">
            <v>5296.6816666666664</v>
          </cell>
          <cell r="W236">
            <v>5373.5</v>
          </cell>
          <cell r="X236">
            <v>-76.818333333333385</v>
          </cell>
        </row>
        <row r="237">
          <cell r="A237" t="str">
            <v>Midland Region Total</v>
          </cell>
          <cell r="B237">
            <v>1321.7641666666668</v>
          </cell>
          <cell r="C237">
            <v>1352.0864758185753</v>
          </cell>
          <cell r="D237">
            <v>-30.322309151908538</v>
          </cell>
          <cell r="F237">
            <v>4682.8816666666671</v>
          </cell>
          <cell r="G237">
            <v>4601.3608135746817</v>
          </cell>
          <cell r="H237">
            <v>81.520853091984577</v>
          </cell>
          <cell r="J237">
            <v>1942.3333333333333</v>
          </cell>
          <cell r="K237">
            <v>2007.1812582185617</v>
          </cell>
          <cell r="L237">
            <v>-64.847924885228466</v>
          </cell>
          <cell r="N237">
            <v>623.33416666666665</v>
          </cell>
          <cell r="O237">
            <v>616.84749999999985</v>
          </cell>
          <cell r="P237">
            <v>6.4866666666666859</v>
          </cell>
          <cell r="R237">
            <v>2175.373333333333</v>
          </cell>
          <cell r="S237">
            <v>2191.6724563699827</v>
          </cell>
          <cell r="T237">
            <v>-16.299123036649167</v>
          </cell>
          <cell r="V237">
            <v>10745.686666666666</v>
          </cell>
          <cell r="W237">
            <v>10769.148503981802</v>
          </cell>
          <cell r="X237">
            <v>-23.461837315135064</v>
          </cell>
        </row>
        <row r="239">
          <cell r="A239" t="str">
            <v>Capital &amp; Coast DHB</v>
          </cell>
          <cell r="B239">
            <v>717.23980842391666</v>
          </cell>
          <cell r="C239">
            <v>752.97705978251963</v>
          </cell>
          <cell r="D239">
            <v>-35.737251358602983</v>
          </cell>
          <cell r="F239">
            <v>2063.3915242073331</v>
          </cell>
          <cell r="G239">
            <v>1971.5521972487447</v>
          </cell>
          <cell r="H239">
            <v>91.839326958588572</v>
          </cell>
          <cell r="J239">
            <v>749.12180103524997</v>
          </cell>
          <cell r="K239">
            <v>751.50552669516321</v>
          </cell>
          <cell r="L239">
            <v>-2.3837256599133618</v>
          </cell>
          <cell r="N239">
            <v>187.29102265566664</v>
          </cell>
          <cell r="O239">
            <v>181.2713890390024</v>
          </cell>
          <cell r="P239">
            <v>6.0196336166642537</v>
          </cell>
          <cell r="R239">
            <v>828.22917522649993</v>
          </cell>
          <cell r="S239">
            <v>809.6336627605159</v>
          </cell>
          <cell r="T239">
            <v>18.595512465984125</v>
          </cell>
          <cell r="V239">
            <v>4545.2733315486666</v>
          </cell>
          <cell r="W239">
            <v>4466.9398355259464</v>
          </cell>
          <cell r="X239">
            <v>78.333496022720581</v>
          </cell>
        </row>
        <row r="240">
          <cell r="A240" t="str">
            <v>Hawke's Bay DHB</v>
          </cell>
          <cell r="B240">
            <v>267.86333333333329</v>
          </cell>
          <cell r="C240">
            <v>261.80000000000007</v>
          </cell>
          <cell r="D240">
            <v>6.0633333333333281</v>
          </cell>
          <cell r="F240">
            <v>849.15333333333331</v>
          </cell>
          <cell r="G240">
            <v>824.70000000000016</v>
          </cell>
          <cell r="H240">
            <v>24.453333333333301</v>
          </cell>
          <cell r="J240">
            <v>395.02916666666664</v>
          </cell>
          <cell r="K240">
            <v>413</v>
          </cell>
          <cell r="L240">
            <v>-17.970833333333335</v>
          </cell>
          <cell r="N240">
            <v>139.43166666666667</v>
          </cell>
          <cell r="O240">
            <v>138.59999999999997</v>
          </cell>
          <cell r="P240">
            <v>0.83166666666667532</v>
          </cell>
          <cell r="R240">
            <v>379.2208333333333</v>
          </cell>
          <cell r="S240">
            <v>389.59999999999997</v>
          </cell>
          <cell r="T240">
            <v>-10.379166666666634</v>
          </cell>
          <cell r="V240">
            <v>2030.698333333333</v>
          </cell>
          <cell r="W240">
            <v>2027.7000000000005</v>
          </cell>
          <cell r="X240">
            <v>2.9983333333332971</v>
          </cell>
        </row>
        <row r="241">
          <cell r="A241" t="str">
            <v>Hutt Valley DHB</v>
          </cell>
          <cell r="B241">
            <v>231.70749999999998</v>
          </cell>
          <cell r="C241">
            <v>232.92483495158839</v>
          </cell>
          <cell r="D241">
            <v>-1.2173349515883629</v>
          </cell>
          <cell r="F241">
            <v>707.98916666666673</v>
          </cell>
          <cell r="G241">
            <v>689.81207687119513</v>
          </cell>
          <cell r="H241">
            <v>18.177089795471762</v>
          </cell>
          <cell r="J241">
            <v>433.18499999999995</v>
          </cell>
          <cell r="K241">
            <v>444.86229217815929</v>
          </cell>
          <cell r="L241">
            <v>-11.677292178159282</v>
          </cell>
          <cell r="N241">
            <v>138.70166666666665</v>
          </cell>
          <cell r="O241">
            <v>129.84173948969917</v>
          </cell>
          <cell r="P241">
            <v>8.8599271769675045</v>
          </cell>
          <cell r="R241">
            <v>328.45250000000004</v>
          </cell>
          <cell r="S241">
            <v>339.38831622781669</v>
          </cell>
          <cell r="T241">
            <v>-10.935816227816735</v>
          </cell>
          <cell r="V241">
            <v>1840.0358333333334</v>
          </cell>
          <cell r="W241">
            <v>1836.8292597184588</v>
          </cell>
          <cell r="X241">
            <v>3.2065736148747419</v>
          </cell>
        </row>
        <row r="242">
          <cell r="A242" t="str">
            <v>MidCentral DHB</v>
          </cell>
          <cell r="B242">
            <v>288.36916666666667</v>
          </cell>
          <cell r="C242">
            <v>292</v>
          </cell>
          <cell r="D242">
            <v>-3.630833333333328</v>
          </cell>
          <cell r="F242">
            <v>936.45583333333332</v>
          </cell>
          <cell r="G242">
            <v>933</v>
          </cell>
          <cell r="H242">
            <v>3.455833333333326</v>
          </cell>
          <cell r="J242">
            <v>392.43</v>
          </cell>
          <cell r="K242">
            <v>389</v>
          </cell>
          <cell r="L242">
            <v>3.4299999999999926</v>
          </cell>
          <cell r="N242">
            <v>45.774166666666666</v>
          </cell>
          <cell r="O242">
            <v>47</v>
          </cell>
          <cell r="P242">
            <v>-1.225833333333334</v>
          </cell>
          <cell r="R242">
            <v>490.46583333333336</v>
          </cell>
          <cell r="S242">
            <v>506</v>
          </cell>
          <cell r="T242">
            <v>-15.534166666666664</v>
          </cell>
          <cell r="V242">
            <v>2153.4950000000003</v>
          </cell>
          <cell r="W242">
            <v>2167</v>
          </cell>
          <cell r="X242">
            <v>-13.504999999999958</v>
          </cell>
        </row>
        <row r="243">
          <cell r="A243" t="str">
            <v>Wairarapa DHB</v>
          </cell>
          <cell r="B243">
            <v>38.41491666666667</v>
          </cell>
          <cell r="C243">
            <v>43.42041666666659</v>
          </cell>
          <cell r="D243">
            <v>-5.0054999999999232</v>
          </cell>
          <cell r="F243">
            <v>203.81808333333333</v>
          </cell>
          <cell r="G243">
            <v>195.96358333333384</v>
          </cell>
          <cell r="H243">
            <v>7.8544999999995211</v>
          </cell>
          <cell r="J243">
            <v>68.795083333333338</v>
          </cell>
          <cell r="K243">
            <v>75.265166666666687</v>
          </cell>
          <cell r="L243">
            <v>-6.4700833333333554</v>
          </cell>
          <cell r="N243">
            <v>13.695416666666668</v>
          </cell>
          <cell r="O243">
            <v>13.241416666666666</v>
          </cell>
          <cell r="P243">
            <v>0.45399999999999929</v>
          </cell>
          <cell r="R243">
            <v>101.38791666666667</v>
          </cell>
          <cell r="S243">
            <v>110.79100000000011</v>
          </cell>
          <cell r="T243">
            <v>-9.4030833333334556</v>
          </cell>
          <cell r="V243">
            <v>426.11141666666663</v>
          </cell>
          <cell r="W243">
            <v>438.68158333333378</v>
          </cell>
          <cell r="X243">
            <v>-12.570166666667214</v>
          </cell>
        </row>
        <row r="244">
          <cell r="A244" t="str">
            <v>Whanganui DHB</v>
          </cell>
          <cell r="B244">
            <v>91.86</v>
          </cell>
          <cell r="C244">
            <v>93.127499999999998</v>
          </cell>
          <cell r="D244">
            <v>-1.2674999999999994</v>
          </cell>
          <cell r="F244">
            <v>386.73166666666657</v>
          </cell>
          <cell r="G244">
            <v>383.75583333333338</v>
          </cell>
          <cell r="H244">
            <v>2.9758333333333504</v>
          </cell>
          <cell r="J244">
            <v>139.48000000000002</v>
          </cell>
          <cell r="K244">
            <v>141.72999999999999</v>
          </cell>
          <cell r="L244">
            <v>-2.2499999999999845</v>
          </cell>
          <cell r="N244">
            <v>19.179166666666667</v>
          </cell>
          <cell r="O244">
            <v>17.287500000000001</v>
          </cell>
          <cell r="P244">
            <v>1.8916666666666664</v>
          </cell>
          <cell r="R244">
            <v>172.82666666666668</v>
          </cell>
          <cell r="S244">
            <v>175.61</v>
          </cell>
          <cell r="T244">
            <v>-2.7833333333333385</v>
          </cell>
          <cell r="V244">
            <v>810.07749999999999</v>
          </cell>
          <cell r="W244">
            <v>811.51083333333327</v>
          </cell>
          <cell r="X244">
            <v>-1.4333333333333371</v>
          </cell>
        </row>
        <row r="245">
          <cell r="A245" t="str">
            <v>Central Region Total</v>
          </cell>
          <cell r="B245">
            <v>1635.454725090583</v>
          </cell>
          <cell r="C245">
            <v>1676.2498114007747</v>
          </cell>
          <cell r="D245">
            <v>-40.795086310191266</v>
          </cell>
          <cell r="F245">
            <v>5147.5396075406661</v>
          </cell>
          <cell r="G245">
            <v>4998.7836907866076</v>
          </cell>
          <cell r="H245">
            <v>148.75591675405983</v>
          </cell>
          <cell r="J245">
            <v>2178.0410510352503</v>
          </cell>
          <cell r="K245">
            <v>2215.362985539989</v>
          </cell>
          <cell r="L245">
            <v>-37.321934504739332</v>
          </cell>
          <cell r="N245">
            <v>544.07310598899994</v>
          </cell>
          <cell r="O245">
            <v>527.24204519536818</v>
          </cell>
          <cell r="P245">
            <v>16.831060793631764</v>
          </cell>
          <cell r="R245">
            <v>2300.5829252265003</v>
          </cell>
          <cell r="S245">
            <v>2331.0229789883329</v>
          </cell>
          <cell r="T245">
            <v>-30.440053761832701</v>
          </cell>
          <cell r="V245">
            <v>11805.691414882</v>
          </cell>
          <cell r="W245">
            <v>11748.661511911072</v>
          </cell>
          <cell r="X245">
            <v>57.029902970928113</v>
          </cell>
        </row>
        <row r="247">
          <cell r="A247" t="str">
            <v>Canterbury DHB</v>
          </cell>
          <cell r="B247">
            <v>906.06916666666666</v>
          </cell>
          <cell r="C247">
            <v>854</v>
          </cell>
          <cell r="D247">
            <v>52.069166666666661</v>
          </cell>
          <cell r="F247">
            <v>3468.0125000000003</v>
          </cell>
          <cell r="G247">
            <v>3343.1666666666665</v>
          </cell>
          <cell r="H247">
            <v>124.84583333333335</v>
          </cell>
          <cell r="J247">
            <v>1414.4858333333332</v>
          </cell>
          <cell r="K247">
            <v>1368</v>
          </cell>
          <cell r="L247">
            <v>46.485833333333346</v>
          </cell>
          <cell r="N247">
            <v>353.47166666666664</v>
          </cell>
          <cell r="O247">
            <v>349.08333333333331</v>
          </cell>
          <cell r="P247">
            <v>4.3883333333333399</v>
          </cell>
          <cell r="R247">
            <v>1191.0358333333334</v>
          </cell>
          <cell r="S247">
            <v>1144.1666666666667</v>
          </cell>
          <cell r="T247">
            <v>46.869166666666651</v>
          </cell>
          <cell r="V247">
            <v>7333.0749999999998</v>
          </cell>
          <cell r="W247">
            <v>7058.416666666667</v>
          </cell>
          <cell r="X247">
            <v>274.65833333333347</v>
          </cell>
        </row>
        <row r="248">
          <cell r="A248" t="str">
            <v>Nelson Marlborough DHB</v>
          </cell>
          <cell r="B248">
            <v>181.1241666666667</v>
          </cell>
          <cell r="C248">
            <v>185.76389216558391</v>
          </cell>
          <cell r="D248">
            <v>-4.6397254989172483</v>
          </cell>
          <cell r="F248">
            <v>640.91</v>
          </cell>
          <cell r="G248">
            <v>618.27814236533948</v>
          </cell>
          <cell r="H248">
            <v>22.631857634660502</v>
          </cell>
          <cell r="J248">
            <v>581.45499999999993</v>
          </cell>
          <cell r="K248">
            <v>593.56904526485744</v>
          </cell>
          <cell r="L248">
            <v>-12.114045264857424</v>
          </cell>
          <cell r="N248">
            <v>95.582499999999982</v>
          </cell>
          <cell r="O248">
            <v>98.301368097513702</v>
          </cell>
          <cell r="P248">
            <v>-2.7188680975136825</v>
          </cell>
          <cell r="R248">
            <v>344.315</v>
          </cell>
          <cell r="S248">
            <v>351.86377969264703</v>
          </cell>
          <cell r="T248">
            <v>-7.5487796926470594</v>
          </cell>
          <cell r="V248">
            <v>1843.386666666667</v>
          </cell>
          <cell r="W248">
            <v>1847.7762275859416</v>
          </cell>
          <cell r="X248">
            <v>-4.3895609192749889</v>
          </cell>
        </row>
        <row r="249">
          <cell r="A249" t="str">
            <v>South Canterbury DHB</v>
          </cell>
          <cell r="B249">
            <v>57.913333333333334</v>
          </cell>
          <cell r="C249">
            <v>59</v>
          </cell>
          <cell r="D249">
            <v>-1.0866666666666667</v>
          </cell>
          <cell r="F249">
            <v>328.29416666666663</v>
          </cell>
          <cell r="G249">
            <v>321</v>
          </cell>
          <cell r="H249">
            <v>7.2941666666666647</v>
          </cell>
          <cell r="J249">
            <v>101.52666666666666</v>
          </cell>
          <cell r="K249">
            <v>106</v>
          </cell>
          <cell r="L249">
            <v>-4.4733333333333336</v>
          </cell>
          <cell r="N249">
            <v>58.337499999999999</v>
          </cell>
          <cell r="O249">
            <v>56</v>
          </cell>
          <cell r="P249">
            <v>2.3374999999999999</v>
          </cell>
          <cell r="R249">
            <v>121.83333333333333</v>
          </cell>
          <cell r="S249">
            <v>124</v>
          </cell>
          <cell r="T249">
            <v>-2.1666666666666665</v>
          </cell>
          <cell r="V249">
            <v>667.90499999999997</v>
          </cell>
          <cell r="W249">
            <v>666</v>
          </cell>
          <cell r="X249">
            <v>1.9049999999999916</v>
          </cell>
        </row>
        <row r="250">
          <cell r="A250" t="str">
            <v>Southern DHB</v>
          </cell>
          <cell r="B250">
            <v>484.25</v>
          </cell>
          <cell r="C250">
            <v>478.96666666666675</v>
          </cell>
          <cell r="D250">
            <v>5.2833333333333217</v>
          </cell>
          <cell r="F250">
            <v>1588.1666666666667</v>
          </cell>
          <cell r="G250">
            <v>1571.6908333333331</v>
          </cell>
          <cell r="H250">
            <v>16.475833333333373</v>
          </cell>
          <cell r="J250">
            <v>686.5</v>
          </cell>
          <cell r="K250">
            <v>695.43499999999995</v>
          </cell>
          <cell r="L250">
            <v>-8.9350000000000218</v>
          </cell>
          <cell r="N250">
            <v>191.25</v>
          </cell>
          <cell r="O250">
            <v>196.63000000000002</v>
          </cell>
          <cell r="P250">
            <v>-5.3799999999999955</v>
          </cell>
          <cell r="R250">
            <v>687.41666666666663</v>
          </cell>
          <cell r="S250">
            <v>692.90000000000009</v>
          </cell>
          <cell r="T250">
            <v>-5.4833333333333103</v>
          </cell>
          <cell r="V250">
            <v>3637.5833333333335</v>
          </cell>
          <cell r="W250">
            <v>3635.6224999999999</v>
          </cell>
          <cell r="X250">
            <v>1.9608333333330847</v>
          </cell>
        </row>
        <row r="251">
          <cell r="A251" t="str">
            <v>West Coast DHB</v>
          </cell>
          <cell r="B251">
            <v>40.37916666666667</v>
          </cell>
          <cell r="C251">
            <v>50.13</v>
          </cell>
          <cell r="D251">
            <v>-9.7508333333333344</v>
          </cell>
          <cell r="F251">
            <v>311.73833333333329</v>
          </cell>
          <cell r="G251">
            <v>315.51666666666659</v>
          </cell>
          <cell r="H251">
            <v>-3.7783333333333502</v>
          </cell>
          <cell r="J251">
            <v>145.76750000000001</v>
          </cell>
          <cell r="K251">
            <v>156.20666666666665</v>
          </cell>
          <cell r="L251">
            <v>-10.439166666666658</v>
          </cell>
          <cell r="N251">
            <v>37.406666666666659</v>
          </cell>
          <cell r="O251">
            <v>42.976666666666667</v>
          </cell>
          <cell r="P251">
            <v>-5.5700000000000029</v>
          </cell>
          <cell r="R251">
            <v>122.03166666666668</v>
          </cell>
          <cell r="S251">
            <v>129.87083333333337</v>
          </cell>
          <cell r="T251">
            <v>-7.8391666666666628</v>
          </cell>
          <cell r="V251">
            <v>657.32333333333349</v>
          </cell>
          <cell r="W251">
            <v>694.70083333333321</v>
          </cell>
          <cell r="X251">
            <v>-37.37749999999992</v>
          </cell>
        </row>
        <row r="252">
          <cell r="A252" t="str">
            <v>Southern Region Total</v>
          </cell>
          <cell r="B252">
            <v>1669.7358333333334</v>
          </cell>
          <cell r="C252">
            <v>1627.8605588322507</v>
          </cell>
          <cell r="D252">
            <v>41.875274501082735</v>
          </cell>
          <cell r="F252">
            <v>6337.1216666666678</v>
          </cell>
          <cell r="G252">
            <v>6169.6523090320052</v>
          </cell>
          <cell r="H252">
            <v>167.46935763466053</v>
          </cell>
          <cell r="J252">
            <v>2929.7349999999997</v>
          </cell>
          <cell r="K252">
            <v>2919.2107119315237</v>
          </cell>
          <cell r="L252">
            <v>10.524288068475911</v>
          </cell>
          <cell r="N252">
            <v>736.04833333333329</v>
          </cell>
          <cell r="O252">
            <v>742.99136809751371</v>
          </cell>
          <cell r="P252">
            <v>-6.9430347641803412</v>
          </cell>
          <cell r="R252">
            <v>2466.6325000000002</v>
          </cell>
          <cell r="S252">
            <v>2442.8012796926473</v>
          </cell>
          <cell r="T252">
            <v>23.831220307352954</v>
          </cell>
          <cell r="V252">
            <v>14139.273333333334</v>
          </cell>
          <cell r="W252">
            <v>13902.51622758594</v>
          </cell>
          <cell r="X252">
            <v>236.75710574739165</v>
          </cell>
        </row>
        <row r="254">
          <cell r="A254" t="str">
            <v>TOTAL</v>
          </cell>
          <cell r="B254">
            <v>8207.5281584239146</v>
          </cell>
          <cell r="C254">
            <v>8243.6283149825049</v>
          </cell>
          <cell r="D254">
            <v>-36.100156558589106</v>
          </cell>
          <cell r="F254">
            <v>25486.744932540663</v>
          </cell>
          <cell r="G254">
            <v>25036.604573188688</v>
          </cell>
          <cell r="H254">
            <v>450.14035935197353</v>
          </cell>
          <cell r="J254">
            <v>11668.763742701916</v>
          </cell>
          <cell r="K254">
            <v>12048.750155982607</v>
          </cell>
          <cell r="L254">
            <v>-379.98641328069425</v>
          </cell>
          <cell r="N254">
            <v>2998.4087726556663</v>
          </cell>
          <cell r="O254">
            <v>2855.7700109548837</v>
          </cell>
          <cell r="P254">
            <v>142.63876170078325</v>
          </cell>
          <cell r="R254">
            <v>10028.171275226499</v>
          </cell>
          <cell r="S254">
            <v>10144.543268028474</v>
          </cell>
          <cell r="T254">
            <v>-116.3719928019741</v>
          </cell>
          <cell r="V254">
            <v>58389.61688154866</v>
          </cell>
          <cell r="W254">
            <v>58329.296323137183</v>
          </cell>
          <cell r="X254">
            <v>60.320558411497892</v>
          </cell>
        </row>
        <row r="272">
          <cell r="A272" t="str">
            <v>Auckland DHB</v>
          </cell>
          <cell r="B272">
            <v>1584.8091666666667</v>
          </cell>
          <cell r="C272">
            <v>1553.7004685337424</v>
          </cell>
          <cell r="D272">
            <v>-31.108698132924189</v>
          </cell>
          <cell r="F272">
            <v>3320.2341666666666</v>
          </cell>
          <cell r="G272">
            <v>3317.9432712863636</v>
          </cell>
          <cell r="H272">
            <v>-2.2908953803029135</v>
          </cell>
          <cell r="J272">
            <v>1670.7908333333335</v>
          </cell>
          <cell r="K272">
            <v>1737.8346729893135</v>
          </cell>
          <cell r="L272">
            <v>67.043839655979966</v>
          </cell>
          <cell r="N272">
            <v>377.40333333333336</v>
          </cell>
          <cell r="O272">
            <v>290.17212565111384</v>
          </cell>
          <cell r="P272">
            <v>-87.23120768221942</v>
          </cell>
          <cell r="R272">
            <v>1113.6791666666666</v>
          </cell>
          <cell r="S272">
            <v>1178.3501401236797</v>
          </cell>
          <cell r="T272">
            <v>64.670973457013218</v>
          </cell>
          <cell r="V272">
            <v>8066.916666666667</v>
          </cell>
          <cell r="W272">
            <v>8078.0006785842133</v>
          </cell>
          <cell r="X272">
            <v>11.084011917545922</v>
          </cell>
        </row>
        <row r="273">
          <cell r="A273" t="str">
            <v>Counties Manukau DHB</v>
          </cell>
          <cell r="B273">
            <v>990.23333333333323</v>
          </cell>
          <cell r="C273">
            <v>920.22999999999968</v>
          </cell>
          <cell r="D273">
            <v>-70.003333333333316</v>
          </cell>
          <cell r="F273">
            <v>2605.625</v>
          </cell>
          <cell r="G273">
            <v>2491.9750000000004</v>
          </cell>
          <cell r="H273">
            <v>-113.64999999999993</v>
          </cell>
          <cell r="J273">
            <v>1095.2250000000001</v>
          </cell>
          <cell r="K273">
            <v>1100.6000000000001</v>
          </cell>
          <cell r="L273">
            <v>5.3749999999999432</v>
          </cell>
          <cell r="N273">
            <v>455.00833333333338</v>
          </cell>
          <cell r="O273">
            <v>408.3966666666667</v>
          </cell>
          <cell r="P273">
            <v>-46.611666666666672</v>
          </cell>
          <cell r="R273">
            <v>813.20833333333337</v>
          </cell>
          <cell r="S273">
            <v>861.81000000000029</v>
          </cell>
          <cell r="T273">
            <v>48.601666666666695</v>
          </cell>
          <cell r="V273">
            <v>5959.3</v>
          </cell>
          <cell r="W273">
            <v>5783.0116666666663</v>
          </cell>
          <cell r="X273">
            <v>-176.28833333333304</v>
          </cell>
        </row>
        <row r="274">
          <cell r="A274" t="str">
            <v>Northland DHB</v>
          </cell>
          <cell r="B274">
            <v>247.72491666666667</v>
          </cell>
          <cell r="C274">
            <v>252.68250000000003</v>
          </cell>
          <cell r="D274">
            <v>4.9575833333333987</v>
          </cell>
          <cell r="F274">
            <v>966.48690833333319</v>
          </cell>
          <cell r="G274">
            <v>931.85989999999981</v>
          </cell>
          <cell r="H274">
            <v>-34.627008333333457</v>
          </cell>
          <cell r="J274">
            <v>470.61031666666662</v>
          </cell>
          <cell r="K274">
            <v>488.06750000000017</v>
          </cell>
          <cell r="L274">
            <v>17.457183333333447</v>
          </cell>
          <cell r="N274">
            <v>91.575841666666648</v>
          </cell>
          <cell r="O274">
            <v>80.45</v>
          </cell>
          <cell r="P274">
            <v>-11.125841666666661</v>
          </cell>
          <cell r="R274">
            <v>358.7567166666667</v>
          </cell>
          <cell r="S274">
            <v>367.68333333333339</v>
          </cell>
          <cell r="T274">
            <v>8.9266166666667175</v>
          </cell>
          <cell r="V274">
            <v>2135.1547</v>
          </cell>
          <cell r="W274">
            <v>2120.7432333333331</v>
          </cell>
          <cell r="X274">
            <v>-14.411466666666627</v>
          </cell>
        </row>
        <row r="275">
          <cell r="A275" t="str">
            <v>Waitemata DHB</v>
          </cell>
          <cell r="B275">
            <v>869.81750000000011</v>
          </cell>
          <cell r="C275">
            <v>873.05115833333321</v>
          </cell>
          <cell r="D275">
            <v>3.2336583333333047</v>
          </cell>
          <cell r="F275">
            <v>2573.6733333333332</v>
          </cell>
          <cell r="G275">
            <v>2603.5066666666662</v>
          </cell>
          <cell r="H275">
            <v>29.83333333333356</v>
          </cell>
          <cell r="J275">
            <v>1453.3933333333334</v>
          </cell>
          <cell r="K275">
            <v>1516.4858333333334</v>
          </cell>
          <cell r="L275">
            <v>63.092499999999973</v>
          </cell>
          <cell r="N275">
            <v>274.10916666666662</v>
          </cell>
          <cell r="O275">
            <v>336.07</v>
          </cell>
          <cell r="P275">
            <v>61.960833333333333</v>
          </cell>
          <cell r="R275">
            <v>800.7108333333332</v>
          </cell>
          <cell r="S275">
            <v>824.89999999999975</v>
          </cell>
          <cell r="T275">
            <v>24.189166666666637</v>
          </cell>
          <cell r="V275">
            <v>5971.7041666666664</v>
          </cell>
          <cell r="W275">
            <v>6154.0136583333333</v>
          </cell>
          <cell r="X275">
            <v>182.30949166666664</v>
          </cell>
        </row>
        <row r="276">
          <cell r="A276" t="str">
            <v>Northern Region Total</v>
          </cell>
          <cell r="B276">
            <v>3692.5849166666667</v>
          </cell>
          <cell r="C276">
            <v>3599.6641268670751</v>
          </cell>
          <cell r="D276">
            <v>-92.920789799590793</v>
          </cell>
          <cell r="F276">
            <v>9466.0194083333336</v>
          </cell>
          <cell r="G276">
            <v>9345.2848379530296</v>
          </cell>
          <cell r="H276">
            <v>-120.73457038030274</v>
          </cell>
          <cell r="J276">
            <v>4690.0194833333335</v>
          </cell>
          <cell r="K276">
            <v>4842.9880063226474</v>
          </cell>
          <cell r="L276">
            <v>152.96852298931333</v>
          </cell>
          <cell r="N276">
            <v>1198.096675</v>
          </cell>
          <cell r="O276">
            <v>1115.0887923177806</v>
          </cell>
          <cell r="P276">
            <v>-83.007882682219417</v>
          </cell>
          <cell r="R276">
            <v>3086.3550499999997</v>
          </cell>
          <cell r="S276">
            <v>3232.7434734570129</v>
          </cell>
          <cell r="T276">
            <v>146.38842345701326</v>
          </cell>
          <cell r="V276">
            <v>22133.075533333333</v>
          </cell>
          <cell r="W276">
            <v>22135.769236917546</v>
          </cell>
          <cell r="X276">
            <v>2.6937035842128978</v>
          </cell>
        </row>
        <row r="278">
          <cell r="A278" t="str">
            <v>Bay of Plenty DHB</v>
          </cell>
          <cell r="B278">
            <v>296.58333333333331</v>
          </cell>
          <cell r="C278">
            <v>296</v>
          </cell>
          <cell r="D278">
            <v>-0.58333333333333337</v>
          </cell>
          <cell r="F278">
            <v>1118.3333333333333</v>
          </cell>
          <cell r="G278">
            <v>1042</v>
          </cell>
          <cell r="H278">
            <v>-76.333333333333329</v>
          </cell>
          <cell r="J278">
            <v>446.75</v>
          </cell>
          <cell r="K278">
            <v>455</v>
          </cell>
          <cell r="L278">
            <v>8.25</v>
          </cell>
          <cell r="N278">
            <v>120.33333333333333</v>
          </cell>
          <cell r="O278">
            <v>115</v>
          </cell>
          <cell r="P278">
            <v>-5.333333333333333</v>
          </cell>
          <cell r="R278">
            <v>460.58333333333331</v>
          </cell>
          <cell r="S278">
            <v>445</v>
          </cell>
          <cell r="T278">
            <v>-15.583333333333334</v>
          </cell>
          <cell r="V278">
            <v>2442.5833333333335</v>
          </cell>
          <cell r="W278">
            <v>2353</v>
          </cell>
          <cell r="X278">
            <v>-89.583333333333329</v>
          </cell>
        </row>
        <row r="279">
          <cell r="A279" t="str">
            <v>Lakes DHB</v>
          </cell>
          <cell r="B279">
            <v>150.41666666666666</v>
          </cell>
          <cell r="C279">
            <v>150.66666666666666</v>
          </cell>
          <cell r="D279">
            <v>0.25</v>
          </cell>
          <cell r="F279">
            <v>479.83333333333331</v>
          </cell>
          <cell r="G279">
            <v>450.83333333333331</v>
          </cell>
          <cell r="H279">
            <v>-29</v>
          </cell>
          <cell r="J279">
            <v>184.16666666666666</v>
          </cell>
          <cell r="K279">
            <v>185.08333333333334</v>
          </cell>
          <cell r="L279">
            <v>0.91666666666666663</v>
          </cell>
          <cell r="N279">
            <v>64.083333333333329</v>
          </cell>
          <cell r="O279">
            <v>61.416666666666664</v>
          </cell>
          <cell r="P279">
            <v>-2.6666666666666665</v>
          </cell>
          <cell r="R279">
            <v>240.58333333333334</v>
          </cell>
          <cell r="S279">
            <v>242.08333333333334</v>
          </cell>
          <cell r="T279">
            <v>1.5</v>
          </cell>
          <cell r="V279">
            <v>1119.0833333333333</v>
          </cell>
          <cell r="W279">
            <v>1090.0833333333333</v>
          </cell>
          <cell r="X279">
            <v>-29</v>
          </cell>
        </row>
        <row r="280">
          <cell r="A280" t="str">
            <v>Tairawhiti DHB</v>
          </cell>
          <cell r="B280">
            <v>64</v>
          </cell>
          <cell r="C280">
            <v>72.149999999999991</v>
          </cell>
          <cell r="D280">
            <v>8.1500000000000057</v>
          </cell>
          <cell r="F280">
            <v>269.16666666666669</v>
          </cell>
          <cell r="G280">
            <v>262</v>
          </cell>
          <cell r="H280">
            <v>-7.166666666666667</v>
          </cell>
          <cell r="J280">
            <v>145.5</v>
          </cell>
          <cell r="K280">
            <v>151</v>
          </cell>
          <cell r="L280">
            <v>5.5</v>
          </cell>
          <cell r="N280">
            <v>16.666666666666668</v>
          </cell>
          <cell r="O280">
            <v>17</v>
          </cell>
          <cell r="P280">
            <v>0.33333333333333331</v>
          </cell>
          <cell r="R280">
            <v>134.75</v>
          </cell>
          <cell r="S280">
            <v>143.72999999999999</v>
          </cell>
          <cell r="T280">
            <v>8.9799999999999898</v>
          </cell>
          <cell r="V280">
            <v>630.08333333333337</v>
          </cell>
          <cell r="W280">
            <v>645.88</v>
          </cell>
          <cell r="X280">
            <v>15.796666666666662</v>
          </cell>
        </row>
        <row r="281">
          <cell r="A281" t="str">
            <v>Taranaki DHB</v>
          </cell>
          <cell r="B281">
            <v>143.34416666666667</v>
          </cell>
          <cell r="C281">
            <v>157.83333333333334</v>
          </cell>
          <cell r="D281">
            <v>14.489166666666664</v>
          </cell>
          <cell r="F281">
            <v>572.07083333333321</v>
          </cell>
          <cell r="G281">
            <v>566.91666666666663</v>
          </cell>
          <cell r="H281">
            <v>-5.1541666666666588</v>
          </cell>
          <cell r="J281">
            <v>230.72749999999996</v>
          </cell>
          <cell r="K281">
            <v>245.91666666666666</v>
          </cell>
          <cell r="L281">
            <v>15.189166666666667</v>
          </cell>
          <cell r="N281">
            <v>94.59083333333335</v>
          </cell>
          <cell r="O281">
            <v>97.916666666666671</v>
          </cell>
          <cell r="P281">
            <v>3.3258333333333319</v>
          </cell>
          <cell r="R281">
            <v>276.21999999999997</v>
          </cell>
          <cell r="S281">
            <v>298.91666666666669</v>
          </cell>
          <cell r="T281">
            <v>22.696666666666658</v>
          </cell>
          <cell r="V281">
            <v>1316.9533333333336</v>
          </cell>
          <cell r="W281">
            <v>1367.5</v>
          </cell>
          <cell r="X281">
            <v>50.546666666666681</v>
          </cell>
        </row>
        <row r="282">
          <cell r="A282" t="str">
            <v>Waikato DHB</v>
          </cell>
          <cell r="B282">
            <v>701.99166666666679</v>
          </cell>
          <cell r="C282">
            <v>687.08333333333337</v>
          </cell>
          <cell r="D282">
            <v>-14.90833333333334</v>
          </cell>
          <cell r="F282">
            <v>2377.09</v>
          </cell>
          <cell r="G282">
            <v>2440.4166666666665</v>
          </cell>
          <cell r="H282">
            <v>63.326666666666632</v>
          </cell>
          <cell r="J282">
            <v>969.93</v>
          </cell>
          <cell r="K282">
            <v>1012.75</v>
          </cell>
          <cell r="L282">
            <v>42.82</v>
          </cell>
          <cell r="N282">
            <v>345.3241666666666</v>
          </cell>
          <cell r="O282">
            <v>338.41666666666669</v>
          </cell>
          <cell r="P282">
            <v>-6.9074999999999989</v>
          </cell>
          <cell r="R282">
            <v>1038.7683333333334</v>
          </cell>
          <cell r="S282">
            <v>1070.9166666666667</v>
          </cell>
          <cell r="T282">
            <v>32.148333333333348</v>
          </cell>
          <cell r="V282">
            <v>5433.104166666667</v>
          </cell>
          <cell r="W282">
            <v>5549.583333333333</v>
          </cell>
          <cell r="X282">
            <v>116.47916666666667</v>
          </cell>
        </row>
        <row r="283">
          <cell r="A283" t="str">
            <v>Midland Region Total</v>
          </cell>
          <cell r="B283">
            <v>1356.3358333333335</v>
          </cell>
          <cell r="C283">
            <v>1363.7333333333333</v>
          </cell>
          <cell r="D283">
            <v>7.3974999999999955</v>
          </cell>
          <cell r="F283">
            <v>4816.4941666666664</v>
          </cell>
          <cell r="G283">
            <v>4762.1666666666661</v>
          </cell>
          <cell r="H283">
            <v>-54.327500000000022</v>
          </cell>
          <cell r="J283">
            <v>1977.0741666666665</v>
          </cell>
          <cell r="K283">
            <v>2049.75</v>
          </cell>
          <cell r="L283">
            <v>72.67583333333333</v>
          </cell>
          <cell r="N283">
            <v>640.99833333333322</v>
          </cell>
          <cell r="O283">
            <v>629.75</v>
          </cell>
          <cell r="P283">
            <v>-11.248333333333335</v>
          </cell>
          <cell r="R283">
            <v>2150.9049999999997</v>
          </cell>
          <cell r="S283">
            <v>2200.6466666666665</v>
          </cell>
          <cell r="T283">
            <v>49.74166666666666</v>
          </cell>
          <cell r="V283">
            <v>10941.807500000001</v>
          </cell>
          <cell r="W283">
            <v>11006.046666666665</v>
          </cell>
          <cell r="X283">
            <v>64.239166666666691</v>
          </cell>
        </row>
        <row r="285">
          <cell r="A285" t="str">
            <v>Capital &amp; Coast DHB</v>
          </cell>
          <cell r="B285">
            <v>805.34506027866655</v>
          </cell>
          <cell r="C285">
            <v>808.1362414459071</v>
          </cell>
          <cell r="D285">
            <v>2.7911811672403246</v>
          </cell>
          <cell r="F285">
            <v>2049.0097838193333</v>
          </cell>
          <cell r="G285">
            <v>2113.1307591329764</v>
          </cell>
          <cell r="H285">
            <v>64.120975313643271</v>
          </cell>
          <cell r="J285">
            <v>765.33816213366663</v>
          </cell>
          <cell r="K285">
            <v>694.20243811469447</v>
          </cell>
          <cell r="L285">
            <v>-71.135724018972169</v>
          </cell>
          <cell r="N285">
            <v>187.67507453325001</v>
          </cell>
          <cell r="O285">
            <v>175.17180661809059</v>
          </cell>
          <cell r="P285">
            <v>-12.503267915159414</v>
          </cell>
          <cell r="R285">
            <v>834.93342786466667</v>
          </cell>
          <cell r="S285">
            <v>765.73167786066131</v>
          </cell>
          <cell r="T285">
            <v>-69.201750004005419</v>
          </cell>
          <cell r="V285">
            <v>4642.3015086295827</v>
          </cell>
          <cell r="W285">
            <v>4556.37292317233</v>
          </cell>
          <cell r="X285">
            <v>-85.928585457253575</v>
          </cell>
        </row>
        <row r="286">
          <cell r="A286" t="str">
            <v>Hawke's Bay DHB</v>
          </cell>
          <cell r="B286">
            <v>276.52833333333331</v>
          </cell>
          <cell r="C286">
            <v>270.23333333333335</v>
          </cell>
          <cell r="D286">
            <v>-6.2949999999999946</v>
          </cell>
          <cell r="F286">
            <v>879.43499999999995</v>
          </cell>
          <cell r="G286">
            <v>833.70833333333337</v>
          </cell>
          <cell r="H286">
            <v>-45.726666666666659</v>
          </cell>
          <cell r="J286">
            <v>397.55500000000001</v>
          </cell>
          <cell r="K286">
            <v>421.91666666666657</v>
          </cell>
          <cell r="L286">
            <v>24.361666666666661</v>
          </cell>
          <cell r="N286">
            <v>140.39083333333329</v>
          </cell>
          <cell r="O286">
            <v>129.60833333333332</v>
          </cell>
          <cell r="P286">
            <v>-10.782499999999999</v>
          </cell>
          <cell r="R286">
            <v>378.14583333333331</v>
          </cell>
          <cell r="S286">
            <v>370.70833333333331</v>
          </cell>
          <cell r="T286">
            <v>-7.4375000000000142</v>
          </cell>
          <cell r="V286">
            <v>2072.0549999999998</v>
          </cell>
          <cell r="W286">
            <v>2026.1750000000002</v>
          </cell>
          <cell r="X286">
            <v>-45.87999999999996</v>
          </cell>
        </row>
        <row r="287">
          <cell r="A287" t="str">
            <v>Hutt Valley DHB</v>
          </cell>
          <cell r="B287">
            <v>232.15999999999997</v>
          </cell>
          <cell r="C287">
            <v>235.21882645437802</v>
          </cell>
          <cell r="D287">
            <v>3.0588264543779977</v>
          </cell>
          <cell r="F287">
            <v>717.34083333333331</v>
          </cell>
          <cell r="G287">
            <v>687.00725757554449</v>
          </cell>
          <cell r="H287">
            <v>-30.333575757788822</v>
          </cell>
          <cell r="J287">
            <v>427.53916666666663</v>
          </cell>
          <cell r="K287">
            <v>436.94089138200872</v>
          </cell>
          <cell r="L287">
            <v>9.4017247153421408</v>
          </cell>
          <cell r="N287">
            <v>135.47083333333333</v>
          </cell>
          <cell r="O287">
            <v>130.38875053490247</v>
          </cell>
          <cell r="P287">
            <v>-5.0820827984308572</v>
          </cell>
          <cell r="R287">
            <v>298.9108333333333</v>
          </cell>
          <cell r="S287">
            <v>307.4056367386641</v>
          </cell>
          <cell r="T287">
            <v>8.4948034053307939</v>
          </cell>
          <cell r="V287">
            <v>1811.4216666666664</v>
          </cell>
          <cell r="W287">
            <v>1796.961362685498</v>
          </cell>
          <cell r="X287">
            <v>-14.460303981168749</v>
          </cell>
        </row>
        <row r="288">
          <cell r="A288" t="str">
            <v>MidCentral DHB</v>
          </cell>
          <cell r="B288">
            <v>296.04249999999996</v>
          </cell>
          <cell r="C288">
            <v>294</v>
          </cell>
          <cell r="D288">
            <v>-2.0424999999999991</v>
          </cell>
          <cell r="F288">
            <v>956.96249999999998</v>
          </cell>
          <cell r="G288">
            <v>950.41666666666663</v>
          </cell>
          <cell r="H288">
            <v>-6.5458333333333298</v>
          </cell>
          <cell r="J288">
            <v>402.08166666666665</v>
          </cell>
          <cell r="K288">
            <v>404</v>
          </cell>
          <cell r="L288">
            <v>1.9183333333333319</v>
          </cell>
          <cell r="N288">
            <v>44.819166666666661</v>
          </cell>
          <cell r="O288">
            <v>48</v>
          </cell>
          <cell r="P288">
            <v>3.1808333333333336</v>
          </cell>
          <cell r="R288">
            <v>486.09250000000014</v>
          </cell>
          <cell r="S288">
            <v>502.26000000000016</v>
          </cell>
          <cell r="T288">
            <v>16.167499999999979</v>
          </cell>
          <cell r="V288">
            <v>2185.9983333333334</v>
          </cell>
          <cell r="W288">
            <v>2198.6766666666676</v>
          </cell>
          <cell r="X288">
            <v>12.678333333333475</v>
          </cell>
        </row>
        <row r="289">
          <cell r="A289" t="str">
            <v>Wairarapa DHB</v>
          </cell>
          <cell r="B289">
            <v>36.621666666666655</v>
          </cell>
          <cell r="C289">
            <v>43.730000000000011</v>
          </cell>
          <cell r="D289">
            <v>7.1083333333333316</v>
          </cell>
          <cell r="F289">
            <v>204.43333333333337</v>
          </cell>
          <cell r="G289">
            <v>202.05999999999997</v>
          </cell>
          <cell r="H289">
            <v>-2.37333333333333</v>
          </cell>
          <cell r="J289">
            <v>70.166666666666671</v>
          </cell>
          <cell r="K289">
            <v>77.12</v>
          </cell>
          <cell r="L289">
            <v>6.9533333333333376</v>
          </cell>
          <cell r="N289">
            <v>14.008333333333335</v>
          </cell>
          <cell r="O289">
            <v>13.14</v>
          </cell>
          <cell r="P289">
            <v>-0.86833333333333274</v>
          </cell>
          <cell r="R289">
            <v>92.729166666666671</v>
          </cell>
          <cell r="S289">
            <v>96.5</v>
          </cell>
          <cell r="T289">
            <v>3.7708333333333321</v>
          </cell>
          <cell r="V289">
            <v>417.9591666666667</v>
          </cell>
          <cell r="W289">
            <v>432.55000000000013</v>
          </cell>
          <cell r="X289">
            <v>14.590833333333327</v>
          </cell>
        </row>
        <row r="290">
          <cell r="A290" t="str">
            <v>Whanganui DHB</v>
          </cell>
          <cell r="B290">
            <v>92.286666666666676</v>
          </cell>
          <cell r="C290">
            <v>91.644999999999996</v>
          </cell>
          <cell r="D290">
            <v>-0.64166666666666572</v>
          </cell>
          <cell r="F290">
            <v>385.45583333333337</v>
          </cell>
          <cell r="G290">
            <v>387.17800000000028</v>
          </cell>
          <cell r="H290">
            <v>1.7221666666668654</v>
          </cell>
          <cell r="J290">
            <v>138.90416666666667</v>
          </cell>
          <cell r="K290">
            <v>144.16516666666666</v>
          </cell>
          <cell r="L290">
            <v>5.261000000000017</v>
          </cell>
          <cell r="N290">
            <v>20.6325</v>
          </cell>
          <cell r="O290">
            <v>18.530583333333333</v>
          </cell>
          <cell r="P290">
            <v>-2.1019166666666669</v>
          </cell>
          <cell r="R290">
            <v>173.32916666666665</v>
          </cell>
          <cell r="S290">
            <v>172.5961666666667</v>
          </cell>
          <cell r="T290">
            <v>-0.73299999999998044</v>
          </cell>
          <cell r="V290">
            <v>810.60833333333323</v>
          </cell>
          <cell r="W290">
            <v>814.11491666666689</v>
          </cell>
          <cell r="X290">
            <v>3.5065833333335754</v>
          </cell>
        </row>
        <row r="291">
          <cell r="A291" t="str">
            <v>Central Region Total</v>
          </cell>
          <cell r="B291">
            <v>1738.9842269453329</v>
          </cell>
          <cell r="C291">
            <v>1742.9634012336182</v>
          </cell>
          <cell r="D291">
            <v>3.9791742882849945</v>
          </cell>
          <cell r="F291">
            <v>5192.6372838193329</v>
          </cell>
          <cell r="G291">
            <v>5173.5010167085211</v>
          </cell>
          <cell r="H291">
            <v>-19.136267110812007</v>
          </cell>
          <cell r="J291">
            <v>2201.5848288003335</v>
          </cell>
          <cell r="K291">
            <v>2178.3451628300363</v>
          </cell>
          <cell r="L291">
            <v>-23.239665970296681</v>
          </cell>
          <cell r="N291">
            <v>542.99674119991664</v>
          </cell>
          <cell r="O291">
            <v>514.8394738196597</v>
          </cell>
          <cell r="P291">
            <v>-28.157267380256936</v>
          </cell>
          <cell r="R291">
            <v>2264.140927864667</v>
          </cell>
          <cell r="S291">
            <v>2215.2018145993256</v>
          </cell>
          <cell r="T291">
            <v>-48.939113265341312</v>
          </cell>
          <cell r="V291">
            <v>11940.344008629583</v>
          </cell>
          <cell r="W291">
            <v>11824.850869191163</v>
          </cell>
          <cell r="X291">
            <v>-115.49313943842191</v>
          </cell>
        </row>
        <row r="293">
          <cell r="A293" t="str">
            <v>Canterbury DHB</v>
          </cell>
          <cell r="B293">
            <v>942.13533074849977</v>
          </cell>
          <cell r="C293">
            <v>908</v>
          </cell>
          <cell r="D293">
            <v>-34.135330748499996</v>
          </cell>
          <cell r="F293">
            <v>3565.174023648</v>
          </cell>
          <cell r="G293">
            <v>3473</v>
          </cell>
          <cell r="H293">
            <v>-92.174023648000002</v>
          </cell>
          <cell r="J293">
            <v>1431.4645593711666</v>
          </cell>
          <cell r="K293">
            <v>1422</v>
          </cell>
          <cell r="L293">
            <v>-9.4645593711666525</v>
          </cell>
          <cell r="N293">
            <v>360.31520833333343</v>
          </cell>
          <cell r="O293">
            <v>356.41666666666669</v>
          </cell>
          <cell r="P293">
            <v>-3.8985416666666688</v>
          </cell>
          <cell r="R293">
            <v>1227.4821167807497</v>
          </cell>
          <cell r="S293">
            <v>1193.0833333333333</v>
          </cell>
          <cell r="T293">
            <v>-34.398783447416655</v>
          </cell>
          <cell r="V293">
            <v>7526.5712388817492</v>
          </cell>
          <cell r="W293">
            <v>7352.5</v>
          </cell>
          <cell r="X293">
            <v>-174.07123888175019</v>
          </cell>
        </row>
        <row r="294">
          <cell r="A294" t="str">
            <v>Nelson Marlborough DHB</v>
          </cell>
          <cell r="B294">
            <v>183.00166666666667</v>
          </cell>
          <cell r="C294">
            <v>184.04511680763383</v>
          </cell>
          <cell r="D294">
            <v>1.0434501409671622</v>
          </cell>
          <cell r="F294">
            <v>644.09833333333324</v>
          </cell>
          <cell r="G294">
            <v>632.75064260618603</v>
          </cell>
          <cell r="H294">
            <v>-11.347690727147247</v>
          </cell>
          <cell r="J294">
            <v>560.94666666666672</v>
          </cell>
          <cell r="K294">
            <v>589.88238814974284</v>
          </cell>
          <cell r="L294">
            <v>28.93572148307619</v>
          </cell>
          <cell r="N294">
            <v>97.072499999999991</v>
          </cell>
          <cell r="O294">
            <v>103.08675970594935</v>
          </cell>
          <cell r="P294">
            <v>6.0142597059493355</v>
          </cell>
          <cell r="R294">
            <v>329.63083333333333</v>
          </cell>
          <cell r="S294">
            <v>336.3060253240871</v>
          </cell>
          <cell r="T294">
            <v>6.6751919907537696</v>
          </cell>
          <cell r="V294">
            <v>1814.75</v>
          </cell>
          <cell r="W294">
            <v>1846.0709325935993</v>
          </cell>
          <cell r="X294">
            <v>31.320932593599213</v>
          </cell>
        </row>
        <row r="295">
          <cell r="A295" t="str">
            <v>South Canterbury DHB</v>
          </cell>
          <cell r="B295">
            <v>61.094166666666666</v>
          </cell>
          <cell r="C295">
            <v>64</v>
          </cell>
          <cell r="D295">
            <v>2.9058333333333333</v>
          </cell>
          <cell r="F295">
            <v>329.48749999999995</v>
          </cell>
          <cell r="G295">
            <v>321</v>
          </cell>
          <cell r="H295">
            <v>-8.4874999999999972</v>
          </cell>
          <cell r="J295">
            <v>107.61166666666666</v>
          </cell>
          <cell r="K295">
            <v>114</v>
          </cell>
          <cell r="L295">
            <v>6.3883333333333328</v>
          </cell>
          <cell r="N295">
            <v>53.619166666666672</v>
          </cell>
          <cell r="O295">
            <v>55</v>
          </cell>
          <cell r="P295">
            <v>1.3808333333333334</v>
          </cell>
          <cell r="R295">
            <v>123.67583333333334</v>
          </cell>
          <cell r="S295">
            <v>124</v>
          </cell>
          <cell r="T295">
            <v>0.32416666666666555</v>
          </cell>
          <cell r="V295">
            <v>675.48833333333323</v>
          </cell>
          <cell r="W295">
            <v>678</v>
          </cell>
          <cell r="X295">
            <v>2.5116666666666845</v>
          </cell>
        </row>
        <row r="296">
          <cell r="A296" t="str">
            <v>Southern DHB</v>
          </cell>
          <cell r="B296">
            <v>508.29583333333335</v>
          </cell>
          <cell r="C296">
            <v>493.03416666666635</v>
          </cell>
          <cell r="D296">
            <v>-15.261666666667034</v>
          </cell>
          <cell r="F296">
            <v>1590.2250000000001</v>
          </cell>
          <cell r="G296">
            <v>1582.5124999999844</v>
          </cell>
          <cell r="H296">
            <v>-7.71250000001542</v>
          </cell>
          <cell r="J296">
            <v>674.70333333333326</v>
          </cell>
          <cell r="K296">
            <v>700.56166666666513</v>
          </cell>
          <cell r="L296">
            <v>25.858333333331803</v>
          </cell>
          <cell r="N296">
            <v>192.66416666666669</v>
          </cell>
          <cell r="O296">
            <v>195.67666666666665</v>
          </cell>
          <cell r="P296">
            <v>3.0125000000000193</v>
          </cell>
          <cell r="R296">
            <v>682.43416666666656</v>
          </cell>
          <cell r="S296">
            <v>679.05749999999728</v>
          </cell>
          <cell r="T296">
            <v>-3.376666666669498</v>
          </cell>
          <cell r="V296">
            <v>3648.3225000000007</v>
          </cell>
          <cell r="W296">
            <v>3650.8424999999793</v>
          </cell>
          <cell r="X296">
            <v>2.5199999999799729</v>
          </cell>
        </row>
        <row r="297">
          <cell r="A297" t="str">
            <v>West Coast DHB</v>
          </cell>
          <cell r="B297">
            <v>39.551666666666669</v>
          </cell>
          <cell r="C297">
            <v>51.010555728034767</v>
          </cell>
          <cell r="D297">
            <v>11.458889061368106</v>
          </cell>
          <cell r="F297">
            <v>325.85000000000002</v>
          </cell>
          <cell r="G297">
            <v>327.01260946679969</v>
          </cell>
          <cell r="H297">
            <v>1.1626094667996938</v>
          </cell>
          <cell r="J297">
            <v>151.07999999999996</v>
          </cell>
          <cell r="K297">
            <v>156.00693199474128</v>
          </cell>
          <cell r="L297">
            <v>4.9269319947412482</v>
          </cell>
          <cell r="N297">
            <v>26.350000000000005</v>
          </cell>
          <cell r="O297">
            <v>27.992501209482342</v>
          </cell>
          <cell r="P297">
            <v>1.6425012094823412</v>
          </cell>
          <cell r="R297">
            <v>127.24833333333335</v>
          </cell>
          <cell r="S297">
            <v>127.0121755492833</v>
          </cell>
          <cell r="T297">
            <v>-0.23615778405002055</v>
          </cell>
          <cell r="V297">
            <v>670.08</v>
          </cell>
          <cell r="W297">
            <v>689.03477394834135</v>
          </cell>
          <cell r="X297">
            <v>18.95477394834133</v>
          </cell>
        </row>
        <row r="298">
          <cell r="A298" t="str">
            <v>Southern Region Total</v>
          </cell>
          <cell r="B298">
            <v>1734.0786640818333</v>
          </cell>
          <cell r="C298">
            <v>1700.0898392023348</v>
          </cell>
          <cell r="D298">
            <v>-33.988824879498431</v>
          </cell>
          <cell r="F298">
            <v>6454.8348569813343</v>
          </cell>
          <cell r="G298">
            <v>6336.2757520729701</v>
          </cell>
          <cell r="H298">
            <v>-118.55910490836298</v>
          </cell>
          <cell r="J298">
            <v>2925.8062260378333</v>
          </cell>
          <cell r="K298">
            <v>2982.4509868111491</v>
          </cell>
          <cell r="L298">
            <v>56.644760773315916</v>
          </cell>
          <cell r="N298">
            <v>730.02104166666675</v>
          </cell>
          <cell r="O298">
            <v>738.17259424876511</v>
          </cell>
          <cell r="P298">
            <v>8.1515525820983612</v>
          </cell>
          <cell r="R298">
            <v>2490.4712834474162</v>
          </cell>
          <cell r="S298">
            <v>2459.4590342067008</v>
          </cell>
          <cell r="T298">
            <v>-31.012249240715736</v>
          </cell>
          <cell r="V298">
            <v>14335.212072215081</v>
          </cell>
          <cell r="W298">
            <v>14216.448206541918</v>
          </cell>
          <cell r="X298">
            <v>-118.76386567316298</v>
          </cell>
        </row>
        <row r="300">
          <cell r="A300" t="str">
            <v>TOTAL</v>
          </cell>
          <cell r="B300">
            <v>8521.9836410271673</v>
          </cell>
          <cell r="C300">
            <v>8406.4507006363638</v>
          </cell>
          <cell r="D300">
            <v>-115.53294039080409</v>
          </cell>
          <cell r="F300">
            <v>25929.985715800667</v>
          </cell>
          <cell r="G300">
            <v>25617.228273401186</v>
          </cell>
          <cell r="H300">
            <v>-312.75744239947682</v>
          </cell>
          <cell r="J300">
            <v>11794.484704838165</v>
          </cell>
          <cell r="K300">
            <v>12053.534155963833</v>
          </cell>
          <cell r="L300">
            <v>259.04945112566628</v>
          </cell>
          <cell r="N300">
            <v>3112.112791199917</v>
          </cell>
          <cell r="O300">
            <v>2997.8508603862051</v>
          </cell>
          <cell r="P300">
            <v>-114.26193081371132</v>
          </cell>
          <cell r="R300">
            <v>9991.8722613120808</v>
          </cell>
          <cell r="S300">
            <v>10108.050988929705</v>
          </cell>
          <cell r="T300">
            <v>116.17872761762358</v>
          </cell>
          <cell r="V300">
            <v>59350.439114178007</v>
          </cell>
          <cell r="W300">
            <v>59183.114979317295</v>
          </cell>
          <cell r="X300">
            <v>-167.3241348607086</v>
          </cell>
        </row>
        <row r="318">
          <cell r="A318" t="str">
            <v>Auckland DHB</v>
          </cell>
          <cell r="B318">
            <v>1585.8250902699165</v>
          </cell>
          <cell r="C318">
            <v>1637.1916666666668</v>
          </cell>
          <cell r="D318">
            <v>51.366576396749906</v>
          </cell>
          <cell r="F318">
            <v>3358.6337683054167</v>
          </cell>
          <cell r="G318">
            <v>3404.64</v>
          </cell>
          <cell r="H318">
            <v>46.006231694583335</v>
          </cell>
          <cell r="J318">
            <v>1706.2101965056663</v>
          </cell>
          <cell r="K318">
            <v>1687.7895000000001</v>
          </cell>
          <cell r="L318">
            <v>-18.420696505666665</v>
          </cell>
          <cell r="N318">
            <v>479.2698392471666</v>
          </cell>
          <cell r="O318">
            <v>535.1400000000001</v>
          </cell>
          <cell r="P318">
            <v>55.870160752833321</v>
          </cell>
          <cell r="R318">
            <v>1152.7902083333331</v>
          </cell>
          <cell r="S318">
            <v>1128.056</v>
          </cell>
          <cell r="T318">
            <v>-24.734208333333317</v>
          </cell>
          <cell r="V318">
            <v>8282.7291026615003</v>
          </cell>
          <cell r="W318">
            <v>8392.8171666666676</v>
          </cell>
          <cell r="X318">
            <v>110.08806400516733</v>
          </cell>
        </row>
        <row r="319">
          <cell r="A319" t="str">
            <v>Counties Manukau DHB</v>
          </cell>
          <cell r="B319">
            <v>990.16666666666663</v>
          </cell>
          <cell r="C319">
            <v>1017.8715999999999</v>
          </cell>
          <cell r="D319">
            <v>27.704933333333344</v>
          </cell>
          <cell r="F319">
            <v>2634.9166666666665</v>
          </cell>
          <cell r="G319">
            <v>2545.9708333333333</v>
          </cell>
          <cell r="H319">
            <v>-88.945833333333326</v>
          </cell>
          <cell r="J319">
            <v>1089.3333333333333</v>
          </cell>
          <cell r="K319">
            <v>1125.1816666666666</v>
          </cell>
          <cell r="L319">
            <v>35.848333333333336</v>
          </cell>
          <cell r="N319">
            <v>484.91666666666669</v>
          </cell>
          <cell r="O319">
            <v>474.85500000000002</v>
          </cell>
          <cell r="P319">
            <v>-10.061666666666667</v>
          </cell>
          <cell r="R319">
            <v>827.41666666666663</v>
          </cell>
          <cell r="S319">
            <v>888.10833333333358</v>
          </cell>
          <cell r="T319">
            <v>60.691666666666698</v>
          </cell>
          <cell r="V319">
            <v>6026.75</v>
          </cell>
          <cell r="W319">
            <v>6051.9874333333328</v>
          </cell>
          <cell r="X319">
            <v>25.237433333332927</v>
          </cell>
        </row>
        <row r="320">
          <cell r="A320" t="str">
            <v>Northland DHB</v>
          </cell>
          <cell r="B320">
            <v>263.19122500000003</v>
          </cell>
          <cell r="C320">
            <v>261.17999999999995</v>
          </cell>
          <cell r="D320">
            <v>-2.0112250000000222</v>
          </cell>
          <cell r="F320">
            <v>1006.2568083333334</v>
          </cell>
          <cell r="G320">
            <v>947.91999999999962</v>
          </cell>
          <cell r="H320">
            <v>-58.336808333333806</v>
          </cell>
          <cell r="J320">
            <v>481.61162499999995</v>
          </cell>
          <cell r="K320">
            <v>493.95160317604382</v>
          </cell>
          <cell r="L320">
            <v>12.339978176043815</v>
          </cell>
          <cell r="N320">
            <v>94.560708333333309</v>
          </cell>
          <cell r="O320">
            <v>98.420833333333334</v>
          </cell>
          <cell r="P320">
            <v>3.8601250000000022</v>
          </cell>
          <cell r="R320">
            <v>377.28446666666667</v>
          </cell>
          <cell r="S320">
            <v>381.11809926936326</v>
          </cell>
          <cell r="T320">
            <v>3.8336326026965346</v>
          </cell>
          <cell r="V320">
            <v>2222.9048333333335</v>
          </cell>
          <cell r="W320">
            <v>2182.5905357787401</v>
          </cell>
          <cell r="X320">
            <v>-40.314297554593431</v>
          </cell>
        </row>
        <row r="321">
          <cell r="A321" t="str">
            <v>Waitemata DHB</v>
          </cell>
          <cell r="B321">
            <v>901.1512583333332</v>
          </cell>
          <cell r="C321">
            <v>876.16</v>
          </cell>
          <cell r="D321">
            <v>-24.991258333333388</v>
          </cell>
          <cell r="F321">
            <v>2692.2553758333338</v>
          </cell>
          <cell r="G321">
            <v>2657.18</v>
          </cell>
          <cell r="H321">
            <v>-35.075375833333474</v>
          </cell>
          <cell r="J321">
            <v>1490.2229500000001</v>
          </cell>
          <cell r="K321">
            <v>1539.4500000000005</v>
          </cell>
          <cell r="L321">
            <v>49.227050000000077</v>
          </cell>
          <cell r="N321">
            <v>295.11583333333334</v>
          </cell>
          <cell r="O321">
            <v>329.88000000000005</v>
          </cell>
          <cell r="P321">
            <v>34.764166666666661</v>
          </cell>
          <cell r="R321">
            <v>852.22716666666656</v>
          </cell>
          <cell r="S321">
            <v>855.79999999999984</v>
          </cell>
          <cell r="T321">
            <v>3.5728333333332785</v>
          </cell>
          <cell r="V321">
            <v>6230.9725841666659</v>
          </cell>
          <cell r="W321">
            <v>6258.47</v>
          </cell>
          <cell r="X321">
            <v>27.497415833332678</v>
          </cell>
        </row>
        <row r="322">
          <cell r="A322" t="str">
            <v>Northern Region Total</v>
          </cell>
          <cell r="B322">
            <v>3740.3342402699163</v>
          </cell>
          <cell r="C322">
            <v>3792.4032666666667</v>
          </cell>
          <cell r="D322">
            <v>52.069026396749834</v>
          </cell>
          <cell r="F322">
            <v>9692.062619138751</v>
          </cell>
          <cell r="G322">
            <v>9555.7108333333326</v>
          </cell>
          <cell r="H322">
            <v>-136.35178580541728</v>
          </cell>
          <cell r="J322">
            <v>4767.3781048389992</v>
          </cell>
          <cell r="K322">
            <v>4846.372769842711</v>
          </cell>
          <cell r="L322">
            <v>78.994665003710566</v>
          </cell>
          <cell r="N322">
            <v>1353.8630475804998</v>
          </cell>
          <cell r="O322">
            <v>1438.2958333333336</v>
          </cell>
          <cell r="P322">
            <v>84.432785752833325</v>
          </cell>
          <cell r="R322">
            <v>3209.7185083333329</v>
          </cell>
          <cell r="S322">
            <v>3253.0824326026964</v>
          </cell>
          <cell r="T322">
            <v>43.363924269363189</v>
          </cell>
          <cell r="V322">
            <v>22763.356520161498</v>
          </cell>
          <cell r="W322">
            <v>22885.865135778742</v>
          </cell>
          <cell r="X322">
            <v>122.5086156172395</v>
          </cell>
        </row>
        <row r="324">
          <cell r="A324" t="str">
            <v>Bay of Plenty DHB</v>
          </cell>
          <cell r="B324">
            <v>310.75</v>
          </cell>
          <cell r="C324">
            <v>311.33333333333331</v>
          </cell>
          <cell r="D324">
            <v>0.58333333333333337</v>
          </cell>
          <cell r="F324">
            <v>1147.0833333333333</v>
          </cell>
          <cell r="G324">
            <v>1059</v>
          </cell>
          <cell r="H324">
            <v>-88.083333333333329</v>
          </cell>
          <cell r="J324">
            <v>468.66666666666669</v>
          </cell>
          <cell r="K324">
            <v>467</v>
          </cell>
          <cell r="L324">
            <v>-1.6666666666666667</v>
          </cell>
          <cell r="N324">
            <v>122</v>
          </cell>
          <cell r="O324">
            <v>116</v>
          </cell>
          <cell r="P324">
            <v>-6</v>
          </cell>
          <cell r="R324">
            <v>482.75</v>
          </cell>
          <cell r="S324">
            <v>451</v>
          </cell>
          <cell r="T324">
            <v>-31.75</v>
          </cell>
          <cell r="V324">
            <v>2531.25</v>
          </cell>
          <cell r="W324">
            <v>2404.3333333333335</v>
          </cell>
          <cell r="X324">
            <v>-126.91666666666667</v>
          </cell>
        </row>
        <row r="325">
          <cell r="A325" t="str">
            <v>Lakes DHB</v>
          </cell>
          <cell r="B325">
            <v>155.33333333333334</v>
          </cell>
          <cell r="C325">
            <v>162.58333333333334</v>
          </cell>
          <cell r="D325">
            <v>7.25</v>
          </cell>
          <cell r="F325">
            <v>499.83333333333331</v>
          </cell>
          <cell r="G325">
            <v>487.08333333333331</v>
          </cell>
          <cell r="H325">
            <v>-12.75</v>
          </cell>
          <cell r="J325">
            <v>193.41666666666666</v>
          </cell>
          <cell r="K325">
            <v>208.16666666666666</v>
          </cell>
          <cell r="L325">
            <v>14.75</v>
          </cell>
          <cell r="N325">
            <v>63.75</v>
          </cell>
          <cell r="O325">
            <v>64.5</v>
          </cell>
          <cell r="P325">
            <v>0.75</v>
          </cell>
          <cell r="R325">
            <v>243.16666666666666</v>
          </cell>
          <cell r="S325">
            <v>259.91666666666669</v>
          </cell>
          <cell r="T325">
            <v>16.75</v>
          </cell>
          <cell r="V325">
            <v>1155.5</v>
          </cell>
          <cell r="W325">
            <v>1182.25</v>
          </cell>
          <cell r="X325">
            <v>26.75</v>
          </cell>
        </row>
        <row r="326">
          <cell r="A326" t="str">
            <v>Tairawhiti DHB</v>
          </cell>
          <cell r="B326">
            <v>65.73833333333333</v>
          </cell>
          <cell r="C326">
            <v>69</v>
          </cell>
          <cell r="D326">
            <v>3.2616666666666667</v>
          </cell>
          <cell r="F326">
            <v>279.21750000000003</v>
          </cell>
          <cell r="G326">
            <v>266</v>
          </cell>
          <cell r="H326">
            <v>-13.217500000000001</v>
          </cell>
          <cell r="J326">
            <v>148.03916666666666</v>
          </cell>
          <cell r="K326">
            <v>150</v>
          </cell>
          <cell r="L326">
            <v>1.9608333333333334</v>
          </cell>
          <cell r="N326">
            <v>16.88</v>
          </cell>
          <cell r="O326">
            <v>16</v>
          </cell>
          <cell r="P326">
            <v>-0.87999999999999989</v>
          </cell>
          <cell r="R326">
            <v>135.98833333333334</v>
          </cell>
          <cell r="S326">
            <v>129</v>
          </cell>
          <cell r="T326">
            <v>-6.9883333333333324</v>
          </cell>
          <cell r="V326">
            <v>645.86333333333334</v>
          </cell>
          <cell r="W326">
            <v>630</v>
          </cell>
          <cell r="X326">
            <v>-15.863333333333335</v>
          </cell>
        </row>
        <row r="327">
          <cell r="A327" t="str">
            <v>Taranaki DHB</v>
          </cell>
          <cell r="B327">
            <v>146.68000000000004</v>
          </cell>
          <cell r="C327">
            <v>156</v>
          </cell>
          <cell r="D327">
            <v>9.32</v>
          </cell>
          <cell r="F327">
            <v>586.66250000000002</v>
          </cell>
          <cell r="G327">
            <v>563</v>
          </cell>
          <cell r="H327">
            <v>-23.662500000000005</v>
          </cell>
          <cell r="J327">
            <v>232.83416666666668</v>
          </cell>
          <cell r="K327">
            <v>248</v>
          </cell>
          <cell r="L327">
            <v>15.165833333333333</v>
          </cell>
          <cell r="N327">
            <v>95.03083333333332</v>
          </cell>
          <cell r="O327">
            <v>83</v>
          </cell>
          <cell r="P327">
            <v>-12.030833333333334</v>
          </cell>
          <cell r="R327">
            <v>272.85333333333335</v>
          </cell>
          <cell r="S327">
            <v>292</v>
          </cell>
          <cell r="T327">
            <v>19.146666666666661</v>
          </cell>
          <cell r="V327">
            <v>1334.0608333333332</v>
          </cell>
          <cell r="W327">
            <v>1342</v>
          </cell>
          <cell r="X327">
            <v>7.9391666666666838</v>
          </cell>
        </row>
        <row r="328">
          <cell r="A328" t="str">
            <v>Waikato DHB</v>
          </cell>
          <cell r="B328">
            <v>714.75</v>
          </cell>
          <cell r="C328">
            <v>717.91666666666663</v>
          </cell>
          <cell r="D328">
            <v>3.1666666666666665</v>
          </cell>
          <cell r="F328">
            <v>2438.4058333333337</v>
          </cell>
          <cell r="G328">
            <v>2512.0833333333335</v>
          </cell>
          <cell r="H328">
            <v>73.677499999999966</v>
          </cell>
          <cell r="J328">
            <v>1004.9491666666667</v>
          </cell>
          <cell r="K328">
            <v>1027</v>
          </cell>
          <cell r="L328">
            <v>22.050833333333326</v>
          </cell>
          <cell r="N328">
            <v>344.64833333333331</v>
          </cell>
          <cell r="O328">
            <v>342.33333333333331</v>
          </cell>
          <cell r="P328">
            <v>-2.3149999999999977</v>
          </cell>
          <cell r="R328">
            <v>1048.3216666666669</v>
          </cell>
          <cell r="S328">
            <v>1078.9166666666667</v>
          </cell>
          <cell r="T328">
            <v>30.595000000000045</v>
          </cell>
          <cell r="V328">
            <v>5551.0750000000007</v>
          </cell>
          <cell r="W328">
            <v>5678.25</v>
          </cell>
          <cell r="X328">
            <v>127.17500000000025</v>
          </cell>
        </row>
        <row r="329">
          <cell r="A329" t="str">
            <v>Midland Region Total</v>
          </cell>
          <cell r="B329">
            <v>1393.2516666666668</v>
          </cell>
          <cell r="C329">
            <v>1416.8333333333333</v>
          </cell>
          <cell r="D329">
            <v>23.581666666666667</v>
          </cell>
          <cell r="F329">
            <v>4951.2025000000003</v>
          </cell>
          <cell r="G329">
            <v>4887.1666666666661</v>
          </cell>
          <cell r="H329">
            <v>-64.035833333333372</v>
          </cell>
          <cell r="J329">
            <v>2047.9058333333332</v>
          </cell>
          <cell r="K329">
            <v>2100.1666666666665</v>
          </cell>
          <cell r="L329">
            <v>52.260833333333323</v>
          </cell>
          <cell r="N329">
            <v>642.30916666666667</v>
          </cell>
          <cell r="O329">
            <v>621.83333333333326</v>
          </cell>
          <cell r="P329">
            <v>-20.47583333333333</v>
          </cell>
          <cell r="R329">
            <v>2183.08</v>
          </cell>
          <cell r="S329">
            <v>2210.8333333333335</v>
          </cell>
          <cell r="T329">
            <v>27.753333333333373</v>
          </cell>
          <cell r="V329">
            <v>11217.749166666668</v>
          </cell>
          <cell r="W329">
            <v>11236.833333333334</v>
          </cell>
          <cell r="X329">
            <v>19.084166666666931</v>
          </cell>
        </row>
        <row r="331">
          <cell r="A331" t="str">
            <v>Capital &amp; Coast DHB</v>
          </cell>
          <cell r="B331">
            <v>827.22603534966663</v>
          </cell>
          <cell r="C331">
            <v>797.33063965940471</v>
          </cell>
          <cell r="D331">
            <v>-29.895395690262074</v>
          </cell>
          <cell r="F331">
            <v>2098.8230350284166</v>
          </cell>
          <cell r="G331">
            <v>2031.5130307020108</v>
          </cell>
          <cell r="H331">
            <v>-67.310004326406201</v>
          </cell>
          <cell r="J331">
            <v>762.75291541716672</v>
          </cell>
          <cell r="K331">
            <v>762.96050037545444</v>
          </cell>
          <cell r="L331">
            <v>0.2075849582876875</v>
          </cell>
          <cell r="N331">
            <v>175.58201938816663</v>
          </cell>
          <cell r="O331">
            <v>185.88232252356639</v>
          </cell>
          <cell r="P331">
            <v>10.300303135399744</v>
          </cell>
          <cell r="R331">
            <v>840.5007846901666</v>
          </cell>
          <cell r="S331">
            <v>828.03407306076951</v>
          </cell>
          <cell r="T331">
            <v>-12.466711629397233</v>
          </cell>
          <cell r="V331">
            <v>4704.884789873583</v>
          </cell>
          <cell r="W331">
            <v>4605.7205663212053</v>
          </cell>
          <cell r="X331">
            <v>-99.164223552378189</v>
          </cell>
        </row>
        <row r="332">
          <cell r="A332" t="str">
            <v>Hawke's Bay DHB</v>
          </cell>
          <cell r="B332">
            <v>291.63749999999999</v>
          </cell>
          <cell r="C332">
            <v>280.67500000000001</v>
          </cell>
          <cell r="D332">
            <v>-10.9625</v>
          </cell>
          <cell r="F332">
            <v>904.33333333333337</v>
          </cell>
          <cell r="G332">
            <v>871.77499999999998</v>
          </cell>
          <cell r="H332">
            <v>-32.558333333333344</v>
          </cell>
          <cell r="J332">
            <v>412.22583333333336</v>
          </cell>
          <cell r="K332">
            <v>407.61666666666673</v>
          </cell>
          <cell r="L332">
            <v>-4.6091666666666571</v>
          </cell>
          <cell r="N332">
            <v>137.94750000000002</v>
          </cell>
          <cell r="O332">
            <v>137.46666666666667</v>
          </cell>
          <cell r="P332">
            <v>-0.48083333333332945</v>
          </cell>
          <cell r="R332">
            <v>385.47083333333347</v>
          </cell>
          <cell r="S332">
            <v>377.875</v>
          </cell>
          <cell r="T332">
            <v>-7.5958333333333501</v>
          </cell>
          <cell r="V332">
            <v>2131.6150000000002</v>
          </cell>
          <cell r="W332">
            <v>2075.4083333333333</v>
          </cell>
          <cell r="X332">
            <v>-56.206666666666649</v>
          </cell>
        </row>
        <row r="333">
          <cell r="A333" t="str">
            <v>Hutt Valley DHB</v>
          </cell>
          <cell r="B333">
            <v>246</v>
          </cell>
          <cell r="C333">
            <v>235.49686327094</v>
          </cell>
          <cell r="D333">
            <v>-10.503136729060039</v>
          </cell>
          <cell r="F333">
            <v>755.25</v>
          </cell>
          <cell r="G333">
            <v>703.23524312786947</v>
          </cell>
          <cell r="H333">
            <v>-52.014756872130647</v>
          </cell>
          <cell r="J333">
            <v>439.58333333333331</v>
          </cell>
          <cell r="K333">
            <v>448.0919481784718</v>
          </cell>
          <cell r="L333">
            <v>8.5086148451384442</v>
          </cell>
          <cell r="N333">
            <v>139</v>
          </cell>
          <cell r="O333">
            <v>128.07096811068604</v>
          </cell>
          <cell r="P333">
            <v>-10.929031889313995</v>
          </cell>
          <cell r="R333">
            <v>302.92500000000001</v>
          </cell>
          <cell r="S333">
            <v>286.81382000099364</v>
          </cell>
          <cell r="T333">
            <v>-16.11117999900631</v>
          </cell>
          <cell r="V333">
            <v>1882.7583333333332</v>
          </cell>
          <cell r="W333">
            <v>1801.7088426889611</v>
          </cell>
          <cell r="X333">
            <v>-81.049490644372511</v>
          </cell>
        </row>
        <row r="334">
          <cell r="A334" t="str">
            <v>MidCentral DHB</v>
          </cell>
          <cell r="B334">
            <v>305.32833333333338</v>
          </cell>
          <cell r="C334">
            <v>302.16666666666669</v>
          </cell>
          <cell r="D334">
            <v>-3.1616666666666666</v>
          </cell>
          <cell r="F334">
            <v>965.79333333333341</v>
          </cell>
          <cell r="G334">
            <v>958.58333333333337</v>
          </cell>
          <cell r="H334">
            <v>-7.2099999999999982</v>
          </cell>
          <cell r="J334">
            <v>411.84999999999991</v>
          </cell>
          <cell r="K334">
            <v>422.08333333333331</v>
          </cell>
          <cell r="L334">
            <v>10.23333333333334</v>
          </cell>
          <cell r="N334">
            <v>44.488333333333337</v>
          </cell>
          <cell r="O334">
            <v>46</v>
          </cell>
          <cell r="P334">
            <v>1.5116666666666674</v>
          </cell>
          <cell r="R334">
            <v>481.36000000000007</v>
          </cell>
          <cell r="S334">
            <v>496</v>
          </cell>
          <cell r="T334">
            <v>14.640000000000006</v>
          </cell>
          <cell r="V334">
            <v>2208.8199999999997</v>
          </cell>
          <cell r="W334">
            <v>2224.8333333333335</v>
          </cell>
          <cell r="X334">
            <v>16.01333333333336</v>
          </cell>
        </row>
        <row r="335">
          <cell r="A335" t="str">
            <v>Wairarapa DHB</v>
          </cell>
          <cell r="B335">
            <v>40.462166666666668</v>
          </cell>
          <cell r="C335">
            <v>43.349416666666684</v>
          </cell>
          <cell r="D335">
            <v>2.8872500000000199</v>
          </cell>
          <cell r="F335">
            <v>215.3233333333333</v>
          </cell>
          <cell r="G335">
            <v>207.06124999999921</v>
          </cell>
          <cell r="H335">
            <v>-8.2620833333340773</v>
          </cell>
          <cell r="J335">
            <v>71.414416666666668</v>
          </cell>
          <cell r="K335">
            <v>71.253000000000142</v>
          </cell>
          <cell r="L335">
            <v>-0.16141666666653856</v>
          </cell>
          <cell r="N335">
            <v>13.146166666666668</v>
          </cell>
          <cell r="O335">
            <v>13.500416666666665</v>
          </cell>
          <cell r="P335">
            <v>0.35424999999999612</v>
          </cell>
          <cell r="R335">
            <v>92.507416666666657</v>
          </cell>
          <cell r="S335">
            <v>89.853750000000275</v>
          </cell>
          <cell r="T335">
            <v>-2.6536666666663913</v>
          </cell>
          <cell r="V335">
            <v>432.8535</v>
          </cell>
          <cell r="W335">
            <v>425.01783333333304</v>
          </cell>
          <cell r="X335">
            <v>-7.8356666666669765</v>
          </cell>
        </row>
        <row r="336">
          <cell r="A336" t="str">
            <v>Whanganui DHB</v>
          </cell>
          <cell r="B336">
            <v>95.397274999999993</v>
          </cell>
          <cell r="C336">
            <v>89.403333333333364</v>
          </cell>
          <cell r="D336">
            <v>-5.9939416666666512</v>
          </cell>
          <cell r="F336">
            <v>390.4040583333333</v>
          </cell>
          <cell r="G336">
            <v>382.40916666666629</v>
          </cell>
          <cell r="H336">
            <v>-7.9948916666670442</v>
          </cell>
          <cell r="J336">
            <v>139.31815833333334</v>
          </cell>
          <cell r="K336">
            <v>143.92000000000007</v>
          </cell>
          <cell r="L336">
            <v>4.6018416666667319</v>
          </cell>
          <cell r="N336">
            <v>18.994350000000001</v>
          </cell>
          <cell r="O336">
            <v>20.417499999999993</v>
          </cell>
          <cell r="P336">
            <v>1.423149999999997</v>
          </cell>
          <cell r="R336">
            <v>173.887775</v>
          </cell>
          <cell r="S336">
            <v>174.56916666666675</v>
          </cell>
          <cell r="T336">
            <v>0.68139166666668649</v>
          </cell>
          <cell r="V336">
            <v>818.00161666666656</v>
          </cell>
          <cell r="W336">
            <v>810.7191666666663</v>
          </cell>
          <cell r="X336">
            <v>-7.2824500000002574</v>
          </cell>
        </row>
        <row r="337">
          <cell r="A337" t="str">
            <v>Central Region Total</v>
          </cell>
          <cell r="B337">
            <v>1806.0513103496667</v>
          </cell>
          <cell r="C337">
            <v>1748.4219195970115</v>
          </cell>
          <cell r="D337">
            <v>-57.629390752655411</v>
          </cell>
          <cell r="F337">
            <v>5329.9270933617508</v>
          </cell>
          <cell r="G337">
            <v>5154.5770238298792</v>
          </cell>
          <cell r="H337">
            <v>-175.35006953187133</v>
          </cell>
          <cell r="J337">
            <v>2237.1446570838334</v>
          </cell>
          <cell r="K337">
            <v>2255.9254485539263</v>
          </cell>
          <cell r="L337">
            <v>18.780791470093007</v>
          </cell>
          <cell r="N337">
            <v>529.15836938816665</v>
          </cell>
          <cell r="O337">
            <v>531.33787396758578</v>
          </cell>
          <cell r="P337">
            <v>2.1795045794190804</v>
          </cell>
          <cell r="R337">
            <v>2276.6518096901668</v>
          </cell>
          <cell r="S337">
            <v>2253.1458097284303</v>
          </cell>
          <cell r="T337">
            <v>-23.505999961736592</v>
          </cell>
          <cell r="V337">
            <v>12178.933239873582</v>
          </cell>
          <cell r="W337">
            <v>11943.408075676833</v>
          </cell>
          <cell r="X337">
            <v>-235.52516419675123</v>
          </cell>
        </row>
        <row r="339">
          <cell r="A339" t="str">
            <v>Canterbury DHB</v>
          </cell>
          <cell r="B339">
            <v>923.61746720991675</v>
          </cell>
          <cell r="C339">
            <v>938</v>
          </cell>
          <cell r="D339">
            <v>14.382532790083323</v>
          </cell>
          <cell r="F339">
            <v>3611.7897137194173</v>
          </cell>
          <cell r="G339">
            <v>3605.3000000000006</v>
          </cell>
          <cell r="H339">
            <v>-6.4897137194162342</v>
          </cell>
          <cell r="J339">
            <v>1461.7706686782501</v>
          </cell>
          <cell r="K339">
            <v>1438.3</v>
          </cell>
          <cell r="L339">
            <v>-23.470668678250131</v>
          </cell>
          <cell r="N339">
            <v>359.61416666666668</v>
          </cell>
          <cell r="O339">
            <v>362.39999999999992</v>
          </cell>
          <cell r="P339">
            <v>2.7858333333332723</v>
          </cell>
          <cell r="R339">
            <v>1248.515471899</v>
          </cell>
          <cell r="S339">
            <v>1259.4833333333333</v>
          </cell>
          <cell r="T339">
            <v>10.967861434333392</v>
          </cell>
          <cell r="V339">
            <v>7605.3074881732509</v>
          </cell>
          <cell r="W339">
            <v>7603.4833333333336</v>
          </cell>
          <cell r="X339">
            <v>-1.8241548399162184</v>
          </cell>
        </row>
        <row r="340">
          <cell r="A340" t="str">
            <v>Nelson Marlborough DHB</v>
          </cell>
          <cell r="B340">
            <v>188.66250000000002</v>
          </cell>
          <cell r="C340">
            <v>184</v>
          </cell>
          <cell r="D340">
            <v>-4.6625000000000041</v>
          </cell>
          <cell r="F340">
            <v>656.71583333333331</v>
          </cell>
          <cell r="G340">
            <v>633</v>
          </cell>
          <cell r="H340">
            <v>-23.715833333333325</v>
          </cell>
          <cell r="J340">
            <v>569.93716666666683</v>
          </cell>
          <cell r="K340">
            <v>570</v>
          </cell>
          <cell r="L340">
            <v>6.283333333333492E-2</v>
          </cell>
          <cell r="N340">
            <v>102.52999999999999</v>
          </cell>
          <cell r="O340">
            <v>103</v>
          </cell>
          <cell r="P340">
            <v>0.47000000000000003</v>
          </cell>
          <cell r="R340">
            <v>339.64166666666665</v>
          </cell>
          <cell r="S340">
            <v>335</v>
          </cell>
          <cell r="T340">
            <v>-4.6416666666666702</v>
          </cell>
          <cell r="V340">
            <v>1857.4871666666666</v>
          </cell>
          <cell r="W340">
            <v>1825</v>
          </cell>
          <cell r="X340">
            <v>-32.48716666666661</v>
          </cell>
        </row>
        <row r="341">
          <cell r="A341" t="str">
            <v>South Canterbury DHB</v>
          </cell>
          <cell r="B341">
            <v>64.477500000000006</v>
          </cell>
          <cell r="C341">
            <v>66.63</v>
          </cell>
          <cell r="D341">
            <v>2.1524999999999941</v>
          </cell>
          <cell r="F341">
            <v>331.73083333333329</v>
          </cell>
          <cell r="G341">
            <v>326.81</v>
          </cell>
          <cell r="H341">
            <v>-4.9208333333333298</v>
          </cell>
          <cell r="J341">
            <v>108.05083333333334</v>
          </cell>
          <cell r="K341">
            <v>113.79999999999997</v>
          </cell>
          <cell r="L341">
            <v>5.749166666666663</v>
          </cell>
          <cell r="N341">
            <v>51.63</v>
          </cell>
          <cell r="O341">
            <v>50.840000000000011</v>
          </cell>
          <cell r="P341">
            <v>-0.78999999999999682</v>
          </cell>
          <cell r="R341">
            <v>123.9875</v>
          </cell>
          <cell r="S341">
            <v>122.77999999999999</v>
          </cell>
          <cell r="T341">
            <v>-1.2074999999999996</v>
          </cell>
          <cell r="V341">
            <v>679.87666666666667</v>
          </cell>
          <cell r="W341">
            <v>680.8599999999999</v>
          </cell>
          <cell r="X341">
            <v>0.98333333333335793</v>
          </cell>
        </row>
        <row r="342">
          <cell r="A342" t="str">
            <v>Southern DHB</v>
          </cell>
          <cell r="B342">
            <v>514.92583333333334</v>
          </cell>
          <cell r="C342">
            <v>521.70083333333048</v>
          </cell>
          <cell r="D342">
            <v>6.7749999999971777</v>
          </cell>
          <cell r="F342">
            <v>1620.448333333333</v>
          </cell>
          <cell r="G342">
            <v>1602.164166666641</v>
          </cell>
          <cell r="H342">
            <v>-18.284166666692272</v>
          </cell>
          <cell r="J342">
            <v>651.71000000000015</v>
          </cell>
          <cell r="K342">
            <v>683.2091666666629</v>
          </cell>
          <cell r="L342">
            <v>31.499166666662763</v>
          </cell>
          <cell r="N342">
            <v>193.66416666666669</v>
          </cell>
          <cell r="O342">
            <v>192.37000000000009</v>
          </cell>
          <cell r="P342">
            <v>-1.2941666666665839</v>
          </cell>
          <cell r="R342">
            <v>663.33666666666659</v>
          </cell>
          <cell r="S342">
            <v>670.22416666666186</v>
          </cell>
          <cell r="T342">
            <v>6.887499999995299</v>
          </cell>
          <cell r="V342">
            <v>3644.0849999999996</v>
          </cell>
          <cell r="W342">
            <v>3669.6683333332967</v>
          </cell>
          <cell r="X342">
            <v>25.583333333296348</v>
          </cell>
        </row>
        <row r="343">
          <cell r="A343" t="str">
            <v>West Coast DHB</v>
          </cell>
          <cell r="B343">
            <v>38.188333333333333</v>
          </cell>
          <cell r="C343">
            <v>42.800000000000004</v>
          </cell>
          <cell r="D343">
            <v>4.6116666666666637</v>
          </cell>
          <cell r="F343">
            <v>330.77333333333331</v>
          </cell>
          <cell r="G343">
            <v>327</v>
          </cell>
          <cell r="H343">
            <v>-3.7733333333333405</v>
          </cell>
          <cell r="J343">
            <v>159.6825</v>
          </cell>
          <cell r="K343">
            <v>146</v>
          </cell>
          <cell r="L343">
            <v>-13.682499999999999</v>
          </cell>
          <cell r="N343">
            <v>21.034166666666664</v>
          </cell>
          <cell r="O343">
            <v>27</v>
          </cell>
          <cell r="P343">
            <v>5.9658333333333324</v>
          </cell>
          <cell r="R343">
            <v>116.55</v>
          </cell>
          <cell r="S343">
            <v>126</v>
          </cell>
          <cell r="T343">
            <v>9.4500000000000028</v>
          </cell>
          <cell r="V343">
            <v>666.22833333333335</v>
          </cell>
          <cell r="W343">
            <v>668.80000000000007</v>
          </cell>
          <cell r="X343">
            <v>2.5716666666666206</v>
          </cell>
        </row>
        <row r="344">
          <cell r="A344" t="str">
            <v>Southern Region Total</v>
          </cell>
          <cell r="B344">
            <v>1729.8716338765832</v>
          </cell>
          <cell r="C344">
            <v>1753.1308333333307</v>
          </cell>
          <cell r="D344">
            <v>23.259199456747154</v>
          </cell>
          <cell r="F344">
            <v>6551.4580470527499</v>
          </cell>
          <cell r="G344">
            <v>6494.2741666666425</v>
          </cell>
          <cell r="H344">
            <v>-57.183880386108498</v>
          </cell>
          <cell r="J344">
            <v>2951.1511686782501</v>
          </cell>
          <cell r="K344">
            <v>2951.3091666666628</v>
          </cell>
          <cell r="L344">
            <v>0.15799798841262991</v>
          </cell>
          <cell r="N344">
            <v>728.47250000000008</v>
          </cell>
          <cell r="O344">
            <v>735.61</v>
          </cell>
          <cell r="P344">
            <v>7.1375000000000242</v>
          </cell>
          <cell r="R344">
            <v>2492.0313052323336</v>
          </cell>
          <cell r="S344">
            <v>2513.4874999999952</v>
          </cell>
          <cell r="T344">
            <v>21.456194767662023</v>
          </cell>
          <cell r="V344">
            <v>14452.984654839916</v>
          </cell>
          <cell r="W344">
            <v>14447.81166666663</v>
          </cell>
          <cell r="X344">
            <v>-5.1729881732865035</v>
          </cell>
        </row>
        <row r="346">
          <cell r="A346" t="str">
            <v>TOTAL</v>
          </cell>
          <cell r="B346">
            <v>8669.5088511628346</v>
          </cell>
          <cell r="C346">
            <v>8710.7893529303419</v>
          </cell>
          <cell r="D346">
            <v>41.280501767508063</v>
          </cell>
          <cell r="F346">
            <v>26524.650259553251</v>
          </cell>
          <cell r="G346">
            <v>26091.728690496519</v>
          </cell>
          <cell r="H346">
            <v>-432.92156905673073</v>
          </cell>
          <cell r="J346">
            <v>12003.579763934415</v>
          </cell>
          <cell r="K346">
            <v>12153.774051729966</v>
          </cell>
          <cell r="L346">
            <v>150.19428779554892</v>
          </cell>
          <cell r="N346">
            <v>3253.8030836353332</v>
          </cell>
          <cell r="O346">
            <v>3327.0770406342526</v>
          </cell>
          <cell r="P346">
            <v>73.273956998919246</v>
          </cell>
          <cell r="R346">
            <v>10161.481623255831</v>
          </cell>
          <cell r="S346">
            <v>10230.549075664456</v>
          </cell>
          <cell r="T346">
            <v>69.067452408621648</v>
          </cell>
          <cell r="V346">
            <v>60613.023581541675</v>
          </cell>
          <cell r="W346">
            <v>60513.918211455537</v>
          </cell>
          <cell r="X346">
            <v>-99.105370086126641</v>
          </cell>
        </row>
        <row r="365">
          <cell r="A365" t="str">
            <v>Auckland DHB</v>
          </cell>
          <cell r="B365">
            <v>1629.2625</v>
          </cell>
          <cell r="C365">
            <v>1655.4329166666666</v>
          </cell>
          <cell r="D365">
            <v>26.170416666666654</v>
          </cell>
          <cell r="F365">
            <v>3456.8241666666672</v>
          </cell>
          <cell r="G365">
            <v>3437.2866666666669</v>
          </cell>
          <cell r="H365">
            <v>-19.537500000000023</v>
          </cell>
          <cell r="J365">
            <v>1750.4866666666667</v>
          </cell>
          <cell r="K365">
            <v>1829.8800833333335</v>
          </cell>
          <cell r="L365">
            <v>79.39341666666661</v>
          </cell>
          <cell r="N365">
            <v>360.60416666666669</v>
          </cell>
          <cell r="O365">
            <v>398.19249999999994</v>
          </cell>
          <cell r="P365">
            <v>37.588333333333338</v>
          </cell>
          <cell r="R365">
            <v>1182.5208333333333</v>
          </cell>
          <cell r="S365">
            <v>1230.2143333333333</v>
          </cell>
          <cell r="T365">
            <v>47.693499999999972</v>
          </cell>
          <cell r="V365">
            <v>8379.6983333333319</v>
          </cell>
          <cell r="W365">
            <v>8551.0065000000013</v>
          </cell>
          <cell r="X365">
            <v>171.30816666666678</v>
          </cell>
        </row>
        <row r="366">
          <cell r="A366" t="str">
            <v>Counties Manukau DHB</v>
          </cell>
          <cell r="B366">
            <v>965.83333333333337</v>
          </cell>
          <cell r="C366">
            <v>1015.1666666666666</v>
          </cell>
          <cell r="D366">
            <v>49.333333333333343</v>
          </cell>
          <cell r="F366">
            <v>2681.0833333333335</v>
          </cell>
          <cell r="G366">
            <v>2589.4416666666671</v>
          </cell>
          <cell r="H366">
            <v>-91.641666666666652</v>
          </cell>
          <cell r="J366">
            <v>1104.6666666666667</v>
          </cell>
          <cell r="K366">
            <v>1135.0208333333333</v>
          </cell>
          <cell r="L366">
            <v>30.354166666666668</v>
          </cell>
          <cell r="N366">
            <v>503.75</v>
          </cell>
          <cell r="O366">
            <v>489.07250000000016</v>
          </cell>
          <cell r="P366">
            <v>-14.677500000000004</v>
          </cell>
          <cell r="R366">
            <v>864.08333333333337</v>
          </cell>
          <cell r="S366">
            <v>888.6783333333334</v>
          </cell>
          <cell r="T366">
            <v>24.594999999999999</v>
          </cell>
          <cell r="V366">
            <v>6119.416666666667</v>
          </cell>
          <cell r="W366">
            <v>6117.38</v>
          </cell>
          <cell r="X366">
            <v>-2.0366666666662545</v>
          </cell>
        </row>
        <row r="367">
          <cell r="A367" t="str">
            <v>Northland DHB</v>
          </cell>
          <cell r="B367">
            <v>283.8795833333333</v>
          </cell>
          <cell r="C367">
            <v>282.88999999999993</v>
          </cell>
          <cell r="D367">
            <v>-0.98958333333336645</v>
          </cell>
          <cell r="F367">
            <v>1036.7298583333331</v>
          </cell>
          <cell r="G367">
            <v>973.93001666666657</v>
          </cell>
          <cell r="H367">
            <v>-62.799841666666801</v>
          </cell>
          <cell r="J367">
            <v>497.89700833333336</v>
          </cell>
          <cell r="K367">
            <v>508.63980833333318</v>
          </cell>
          <cell r="L367">
            <v>10.742799999999912</v>
          </cell>
          <cell r="N367">
            <v>99.456016666666685</v>
          </cell>
          <cell r="O367">
            <v>99.999866666666648</v>
          </cell>
          <cell r="P367">
            <v>0.5438499999999884</v>
          </cell>
          <cell r="R367">
            <v>383.36704166666669</v>
          </cell>
          <cell r="S367">
            <v>382.63949166666652</v>
          </cell>
          <cell r="T367">
            <v>-0.72755000000011683</v>
          </cell>
          <cell r="V367">
            <v>2301.3295083333337</v>
          </cell>
          <cell r="W367">
            <v>2248.0991833333333</v>
          </cell>
          <cell r="X367">
            <v>-53.23032500000037</v>
          </cell>
        </row>
        <row r="368">
          <cell r="A368" t="str">
            <v>Waitemata DHB</v>
          </cell>
          <cell r="B368">
            <v>883.39416666666682</v>
          </cell>
          <cell r="C368">
            <v>932.89999999999975</v>
          </cell>
          <cell r="D368">
            <v>49.505833333333321</v>
          </cell>
          <cell r="F368">
            <v>2780.8224999999998</v>
          </cell>
          <cell r="G368">
            <v>2793</v>
          </cell>
          <cell r="H368">
            <v>12.177500000000123</v>
          </cell>
          <cell r="J368">
            <v>1520.6733333333334</v>
          </cell>
          <cell r="K368">
            <v>1557.25</v>
          </cell>
          <cell r="L368">
            <v>36.576666666666654</v>
          </cell>
          <cell r="N368">
            <v>323.61583333333334</v>
          </cell>
          <cell r="O368">
            <v>343.54</v>
          </cell>
          <cell r="P368">
            <v>19.924166666666682</v>
          </cell>
          <cell r="R368">
            <v>886.58916666666664</v>
          </cell>
          <cell r="S368">
            <v>856</v>
          </cell>
          <cell r="T368">
            <v>-30.589166666666671</v>
          </cell>
          <cell r="V368">
            <v>6395.0950000000003</v>
          </cell>
          <cell r="W368">
            <v>6482.6900000000014</v>
          </cell>
          <cell r="X368">
            <v>87.594999999999644</v>
          </cell>
        </row>
        <row r="369">
          <cell r="A369" t="str">
            <v>Northern Region Total</v>
          </cell>
          <cell r="B369">
            <v>3762.3695833333336</v>
          </cell>
          <cell r="C369">
            <v>3886.3895833333327</v>
          </cell>
          <cell r="D369">
            <v>124.01999999999995</v>
          </cell>
          <cell r="F369">
            <v>9955.4598583333336</v>
          </cell>
          <cell r="G369">
            <v>9793.6583500000015</v>
          </cell>
          <cell r="H369">
            <v>-161.80150833333335</v>
          </cell>
          <cell r="J369">
            <v>4873.7236750000002</v>
          </cell>
          <cell r="K369">
            <v>5030.7907249999998</v>
          </cell>
          <cell r="L369">
            <v>157.06704999999985</v>
          </cell>
          <cell r="N369">
            <v>1287.4260166666668</v>
          </cell>
          <cell r="O369">
            <v>1330.8048666666668</v>
          </cell>
          <cell r="P369">
            <v>43.378850000000007</v>
          </cell>
          <cell r="R369">
            <v>3316.560375</v>
          </cell>
          <cell r="S369">
            <v>3357.532158333333</v>
          </cell>
          <cell r="T369">
            <v>40.971783333333178</v>
          </cell>
          <cell r="V369">
            <v>23195.539508333331</v>
          </cell>
          <cell r="W369">
            <v>23399.175683333335</v>
          </cell>
          <cell r="X369">
            <v>203.63617499999981</v>
          </cell>
        </row>
        <row r="371">
          <cell r="A371" t="str">
            <v>Bay of Plenty DHB</v>
          </cell>
          <cell r="B371">
            <v>318.58333333333331</v>
          </cell>
          <cell r="C371">
            <v>322</v>
          </cell>
          <cell r="D371">
            <v>3.4166666666666665</v>
          </cell>
          <cell r="F371">
            <v>1163.9166666666667</v>
          </cell>
          <cell r="G371">
            <v>1069</v>
          </cell>
          <cell r="H371">
            <v>-94.916666666666671</v>
          </cell>
          <cell r="J371">
            <v>481.41666666666669</v>
          </cell>
          <cell r="K371">
            <v>479</v>
          </cell>
          <cell r="L371">
            <v>-2.4166666666666665</v>
          </cell>
          <cell r="N371">
            <v>113.58333333333333</v>
          </cell>
          <cell r="O371">
            <v>117</v>
          </cell>
          <cell r="P371">
            <v>3.4166666666666665</v>
          </cell>
          <cell r="R371">
            <v>484.83333333333331</v>
          </cell>
          <cell r="S371">
            <v>464</v>
          </cell>
          <cell r="T371">
            <v>-20.833333333333332</v>
          </cell>
          <cell r="V371">
            <v>2562.3333333333335</v>
          </cell>
          <cell r="W371">
            <v>2451</v>
          </cell>
          <cell r="X371">
            <v>-111.33333333333333</v>
          </cell>
        </row>
        <row r="372">
          <cell r="A372" t="str">
            <v>Lakes DHB</v>
          </cell>
          <cell r="B372">
            <v>161.58333333333334</v>
          </cell>
          <cell r="C372">
            <v>163.5</v>
          </cell>
          <cell r="D372">
            <v>1.9166666666666667</v>
          </cell>
          <cell r="F372">
            <v>510.33333333333331</v>
          </cell>
          <cell r="G372">
            <v>494.58333333333331</v>
          </cell>
          <cell r="H372">
            <v>-15.75</v>
          </cell>
          <cell r="J372">
            <v>198.66666666666666</v>
          </cell>
          <cell r="K372">
            <v>200.25</v>
          </cell>
          <cell r="L372">
            <v>1.5833333333333333</v>
          </cell>
          <cell r="N372">
            <v>65.5</v>
          </cell>
          <cell r="O372">
            <v>62.833333333333336</v>
          </cell>
          <cell r="P372">
            <v>-2.6666666666666665</v>
          </cell>
          <cell r="R372">
            <v>244.66666666666666</v>
          </cell>
          <cell r="S372">
            <v>252.91666666666666</v>
          </cell>
          <cell r="T372">
            <v>8.25</v>
          </cell>
          <cell r="V372">
            <v>1180.75</v>
          </cell>
          <cell r="W372">
            <v>1174.0833333333333</v>
          </cell>
          <cell r="X372">
            <v>-6.666666666666667</v>
          </cell>
        </row>
        <row r="373">
          <cell r="A373" t="str">
            <v>Tairawhiti DHB</v>
          </cell>
          <cell r="B373">
            <v>70.385000000000005</v>
          </cell>
          <cell r="C373">
            <v>62</v>
          </cell>
          <cell r="D373">
            <v>-8.3849999999999998</v>
          </cell>
          <cell r="F373">
            <v>280.26166666666666</v>
          </cell>
          <cell r="G373">
            <v>270</v>
          </cell>
          <cell r="H373">
            <v>-10.261666666666665</v>
          </cell>
          <cell r="J373">
            <v>150.79666666666665</v>
          </cell>
          <cell r="K373">
            <v>147</v>
          </cell>
          <cell r="L373">
            <v>-3.7966666666666669</v>
          </cell>
          <cell r="N373">
            <v>18.131666666666664</v>
          </cell>
          <cell r="O373">
            <v>15</v>
          </cell>
          <cell r="P373">
            <v>-3.1316666666666664</v>
          </cell>
          <cell r="R373">
            <v>137.81583333333333</v>
          </cell>
          <cell r="S373">
            <v>135</v>
          </cell>
          <cell r="T373">
            <v>-2.8158333333333325</v>
          </cell>
          <cell r="V373">
            <v>657.39083333333338</v>
          </cell>
          <cell r="W373">
            <v>629</v>
          </cell>
          <cell r="X373">
            <v>-28.39083333333333</v>
          </cell>
        </row>
        <row r="374">
          <cell r="A374" t="str">
            <v>Taranaki DHB</v>
          </cell>
          <cell r="B374">
            <v>155.52166666666668</v>
          </cell>
          <cell r="C374">
            <v>160.08333333333334</v>
          </cell>
          <cell r="D374">
            <v>4.5616666666666701</v>
          </cell>
          <cell r="F374">
            <v>597.35249999999996</v>
          </cell>
          <cell r="G374">
            <v>575</v>
          </cell>
          <cell r="H374">
            <v>-22.352499999999981</v>
          </cell>
          <cell r="J374">
            <v>238.97583333333333</v>
          </cell>
          <cell r="K374">
            <v>257.91666666666669</v>
          </cell>
          <cell r="L374">
            <v>18.940833333333327</v>
          </cell>
          <cell r="N374">
            <v>96.560833333333335</v>
          </cell>
          <cell r="O374">
            <v>81.666666666666671</v>
          </cell>
          <cell r="P374">
            <v>-14.894166666666665</v>
          </cell>
          <cell r="R374">
            <v>269.45999999999998</v>
          </cell>
          <cell r="S374">
            <v>300.76666666666671</v>
          </cell>
          <cell r="T374">
            <v>31.306666666666668</v>
          </cell>
          <cell r="V374">
            <v>1357.8708333333336</v>
          </cell>
          <cell r="W374">
            <v>1375.4333333333334</v>
          </cell>
          <cell r="X374">
            <v>17.562500000000039</v>
          </cell>
        </row>
        <row r="375">
          <cell r="A375" t="str">
            <v>Waikato DHB</v>
          </cell>
          <cell r="B375">
            <v>723.01083333333327</v>
          </cell>
          <cell r="C375">
            <v>727</v>
          </cell>
          <cell r="D375">
            <v>3.9891666666666765</v>
          </cell>
          <cell r="F375">
            <v>2467.2383333333332</v>
          </cell>
          <cell r="G375">
            <v>2478.3333333333335</v>
          </cell>
          <cell r="H375">
            <v>11.09499999999999</v>
          </cell>
          <cell r="J375">
            <v>1030.2408333333333</v>
          </cell>
          <cell r="K375">
            <v>1052.5</v>
          </cell>
          <cell r="L375">
            <v>22.259166666666648</v>
          </cell>
          <cell r="N375">
            <v>345.21249999999992</v>
          </cell>
          <cell r="O375">
            <v>352.91666666666669</v>
          </cell>
          <cell r="P375">
            <v>7.7041666666666613</v>
          </cell>
          <cell r="R375">
            <v>1046.8</v>
          </cell>
          <cell r="S375">
            <v>1053.5833333333333</v>
          </cell>
          <cell r="T375">
            <v>6.7833333333333217</v>
          </cell>
          <cell r="V375">
            <v>5612.5024999999996</v>
          </cell>
          <cell r="W375">
            <v>5664.333333333333</v>
          </cell>
          <cell r="X375">
            <v>51.83083333333343</v>
          </cell>
        </row>
        <row r="376">
          <cell r="A376" t="str">
            <v>Midland Region Total</v>
          </cell>
          <cell r="B376">
            <v>1429.0841666666665</v>
          </cell>
          <cell r="C376">
            <v>1434.5833333333335</v>
          </cell>
          <cell r="D376">
            <v>5.4991666666666799</v>
          </cell>
          <cell r="F376">
            <v>5019.1025</v>
          </cell>
          <cell r="G376">
            <v>4886.9166666666661</v>
          </cell>
          <cell r="H376">
            <v>-132.18583333333333</v>
          </cell>
          <cell r="J376">
            <v>2100.0966666666664</v>
          </cell>
          <cell r="K376">
            <v>2136.666666666667</v>
          </cell>
          <cell r="L376">
            <v>36.569999999999979</v>
          </cell>
          <cell r="N376">
            <v>638.98833333333323</v>
          </cell>
          <cell r="O376">
            <v>629.41666666666674</v>
          </cell>
          <cell r="P376">
            <v>-9.571666666666669</v>
          </cell>
          <cell r="R376">
            <v>2183.5758333333333</v>
          </cell>
          <cell r="S376">
            <v>2206.2666666666664</v>
          </cell>
          <cell r="T376">
            <v>22.690833333333327</v>
          </cell>
          <cell r="V376">
            <v>11370.8475</v>
          </cell>
          <cell r="W376">
            <v>11293.849999999999</v>
          </cell>
          <cell r="X376">
            <v>-76.99749999999986</v>
          </cell>
        </row>
        <row r="378">
          <cell r="A378" t="str">
            <v>Capital &amp; Coast DHB</v>
          </cell>
          <cell r="B378">
            <v>866.24553333333324</v>
          </cell>
          <cell r="C378">
            <v>819.21416666666676</v>
          </cell>
          <cell r="D378">
            <v>-47.031366666666663</v>
          </cell>
          <cell r="F378">
            <v>2189.2449583333332</v>
          </cell>
          <cell r="G378">
            <v>2120.3191666666667</v>
          </cell>
          <cell r="H378">
            <v>-68.925791666666782</v>
          </cell>
          <cell r="J378">
            <v>716.81090000000006</v>
          </cell>
          <cell r="K378">
            <v>723.25416666666661</v>
          </cell>
          <cell r="L378">
            <v>6.4432666666666689</v>
          </cell>
          <cell r="N378">
            <v>164.68267499999999</v>
          </cell>
          <cell r="O378">
            <v>180.14249999999996</v>
          </cell>
          <cell r="P378">
            <v>15.459825000000004</v>
          </cell>
          <cell r="R378">
            <v>853.4446333333334</v>
          </cell>
          <cell r="S378">
            <v>864.34</v>
          </cell>
          <cell r="T378">
            <v>10.895366666666661</v>
          </cell>
          <cell r="V378">
            <v>4790.4286999999995</v>
          </cell>
          <cell r="W378">
            <v>4707.2699999999995</v>
          </cell>
          <cell r="X378">
            <v>-83.158700000000408</v>
          </cell>
        </row>
        <row r="379">
          <cell r="A379" t="str">
            <v>Hawke's Bay DHB</v>
          </cell>
          <cell r="B379">
            <v>305.82416666666671</v>
          </cell>
          <cell r="C379">
            <v>289.45833333333331</v>
          </cell>
          <cell r="D379">
            <v>-16.365833333333327</v>
          </cell>
          <cell r="F379">
            <v>900.19416666666666</v>
          </cell>
          <cell r="G379">
            <v>896.66666666666663</v>
          </cell>
          <cell r="H379">
            <v>-3.5275000000000034</v>
          </cell>
          <cell r="J379">
            <v>420.68583333333339</v>
          </cell>
          <cell r="K379">
            <v>442.40000000000003</v>
          </cell>
          <cell r="L379">
            <v>21.714166666666671</v>
          </cell>
          <cell r="N379">
            <v>144.61583333333334</v>
          </cell>
          <cell r="O379">
            <v>137.41666666666666</v>
          </cell>
          <cell r="P379">
            <v>-7.1991666666666632</v>
          </cell>
          <cell r="R379">
            <v>392.46916666666675</v>
          </cell>
          <cell r="S379">
            <v>388.64166666666665</v>
          </cell>
          <cell r="T379">
            <v>-3.8274999999999912</v>
          </cell>
          <cell r="V379">
            <v>2163.7891666666669</v>
          </cell>
          <cell r="W379">
            <v>2154.5833333333335</v>
          </cell>
          <cell r="X379">
            <v>-9.2058333333332794</v>
          </cell>
        </row>
        <row r="380">
          <cell r="A380" t="str">
            <v>Hutt Valley DHB</v>
          </cell>
          <cell r="B380">
            <v>255.33333333333334</v>
          </cell>
          <cell r="C380">
            <v>250.59451666666675</v>
          </cell>
          <cell r="D380">
            <v>-4.7388166666665938</v>
          </cell>
          <cell r="F380">
            <v>757.83333333333337</v>
          </cell>
          <cell r="G380">
            <v>740.29014166666741</v>
          </cell>
          <cell r="H380">
            <v>-17.543191666665848</v>
          </cell>
          <cell r="J380">
            <v>398.33333333333331</v>
          </cell>
          <cell r="K380">
            <v>414.82490833333355</v>
          </cell>
          <cell r="L380">
            <v>16.491575000000307</v>
          </cell>
          <cell r="N380">
            <v>132.25</v>
          </cell>
          <cell r="O380">
            <v>132.85967499999998</v>
          </cell>
          <cell r="P380">
            <v>0.60967499999997921</v>
          </cell>
          <cell r="R380">
            <v>304.94333333333333</v>
          </cell>
          <cell r="S380">
            <v>318.1112083333341</v>
          </cell>
          <cell r="T380">
            <v>13.167875000000715</v>
          </cell>
          <cell r="V380">
            <v>1848.6933333333338</v>
          </cell>
          <cell r="W380">
            <v>1856.6804500000019</v>
          </cell>
          <cell r="X380">
            <v>7.9871166666686122</v>
          </cell>
        </row>
        <row r="381">
          <cell r="A381" t="str">
            <v>MidCentral DHB</v>
          </cell>
          <cell r="B381">
            <v>315.35666666666663</v>
          </cell>
          <cell r="C381">
            <v>310.5</v>
          </cell>
          <cell r="D381">
            <v>-4.8566666666666647</v>
          </cell>
          <cell r="F381">
            <v>982.42999999999972</v>
          </cell>
          <cell r="G381">
            <v>976.5</v>
          </cell>
          <cell r="H381">
            <v>-5.9299999999999971</v>
          </cell>
          <cell r="J381">
            <v>407.11999999999995</v>
          </cell>
          <cell r="K381">
            <v>412.5</v>
          </cell>
          <cell r="L381">
            <v>5.38</v>
          </cell>
          <cell r="N381">
            <v>43.471666666666671</v>
          </cell>
          <cell r="O381">
            <v>44</v>
          </cell>
          <cell r="P381">
            <v>0.52833333333333299</v>
          </cell>
          <cell r="R381">
            <v>483.97749999999996</v>
          </cell>
          <cell r="S381">
            <v>485.16666666666669</v>
          </cell>
          <cell r="T381">
            <v>1.189166666666684</v>
          </cell>
          <cell r="V381">
            <v>2232.3558333333335</v>
          </cell>
          <cell r="W381">
            <v>2228.6666666666665</v>
          </cell>
          <cell r="X381">
            <v>-3.6891666666666274</v>
          </cell>
        </row>
        <row r="382">
          <cell r="A382" t="str">
            <v>Wairarapa DHB</v>
          </cell>
          <cell r="B382">
            <v>42.412083333333335</v>
          </cell>
          <cell r="C382">
            <v>44.299500000000002</v>
          </cell>
          <cell r="D382">
            <v>1.8874166666666714</v>
          </cell>
          <cell r="F382">
            <v>222.71141666666665</v>
          </cell>
          <cell r="G382">
            <v>226.34866666666665</v>
          </cell>
          <cell r="H382">
            <v>3.6372499999999448</v>
          </cell>
          <cell r="J382">
            <v>69.456666666666663</v>
          </cell>
          <cell r="K382">
            <v>75.997891666666689</v>
          </cell>
          <cell r="L382">
            <v>6.5412250000000105</v>
          </cell>
          <cell r="N382">
            <v>15.071250000000001</v>
          </cell>
          <cell r="O382">
            <v>15.2646</v>
          </cell>
          <cell r="P382">
            <v>0.19334999999999955</v>
          </cell>
          <cell r="R382">
            <v>92.921166666666679</v>
          </cell>
          <cell r="S382">
            <v>90.540300000000002</v>
          </cell>
          <cell r="T382">
            <v>-2.3808666666666625</v>
          </cell>
          <cell r="V382">
            <v>442.5725833333334</v>
          </cell>
          <cell r="W382">
            <v>452.45095833333335</v>
          </cell>
          <cell r="X382">
            <v>9.8783749999999682</v>
          </cell>
        </row>
        <row r="383">
          <cell r="A383" t="str">
            <v>Whanganui DHB</v>
          </cell>
          <cell r="B383">
            <v>94.729424999999992</v>
          </cell>
          <cell r="C383">
            <v>95.434166666666655</v>
          </cell>
          <cell r="D383">
            <v>0.70474166666665405</v>
          </cell>
          <cell r="F383">
            <v>403.92424999999997</v>
          </cell>
          <cell r="G383">
            <v>387.30583333333294</v>
          </cell>
          <cell r="H383">
            <v>-16.618416666667006</v>
          </cell>
          <cell r="J383">
            <v>138.859725</v>
          </cell>
          <cell r="K383">
            <v>144.88916666666674</v>
          </cell>
          <cell r="L383">
            <v>6.0294416666667354</v>
          </cell>
          <cell r="N383">
            <v>17.617233333333335</v>
          </cell>
          <cell r="O383">
            <v>20.449166666666663</v>
          </cell>
          <cell r="P383">
            <v>2.8319333333333296</v>
          </cell>
          <cell r="R383">
            <v>174.71283333333335</v>
          </cell>
          <cell r="S383">
            <v>171.32000000000002</v>
          </cell>
          <cell r="T383">
            <v>-3.3928333333333307</v>
          </cell>
          <cell r="V383">
            <v>829.84346666666659</v>
          </cell>
          <cell r="W383">
            <v>819.39833333333308</v>
          </cell>
          <cell r="X383">
            <v>-10.445133333333615</v>
          </cell>
        </row>
        <row r="384">
          <cell r="A384" t="str">
            <v>Central Region Total</v>
          </cell>
          <cell r="B384">
            <v>1879.9012083333332</v>
          </cell>
          <cell r="C384">
            <v>1809.5006833333337</v>
          </cell>
          <cell r="D384">
            <v>-70.400524999999945</v>
          </cell>
          <cell r="F384">
            <v>5456.3381250000002</v>
          </cell>
          <cell r="G384">
            <v>5347.4304750000001</v>
          </cell>
          <cell r="H384">
            <v>-108.90764999999968</v>
          </cell>
          <cell r="J384">
            <v>2151.266458333333</v>
          </cell>
          <cell r="K384">
            <v>2213.8661333333339</v>
          </cell>
          <cell r="L384">
            <v>62.599675000000396</v>
          </cell>
          <cell r="N384">
            <v>517.70865833333335</v>
          </cell>
          <cell r="O384">
            <v>530.13260833333322</v>
          </cell>
          <cell r="P384">
            <v>12.423949999999982</v>
          </cell>
          <cell r="R384">
            <v>2302.4686333333339</v>
          </cell>
          <cell r="S384">
            <v>2318.1198416666675</v>
          </cell>
          <cell r="T384">
            <v>15.651208333334074</v>
          </cell>
          <cell r="V384">
            <v>12307.683083333333</v>
          </cell>
          <cell r="W384">
            <v>12219.049741666666</v>
          </cell>
          <cell r="X384">
            <v>-88.633341666665345</v>
          </cell>
        </row>
        <row r="386">
          <cell r="A386" t="str">
            <v>Canterbury DHB</v>
          </cell>
          <cell r="B386">
            <v>944.25916666666683</v>
          </cell>
          <cell r="C386">
            <v>930.33333333333337</v>
          </cell>
          <cell r="D386">
            <v>-13.925833333333335</v>
          </cell>
          <cell r="F386">
            <v>3688.0875000000001</v>
          </cell>
          <cell r="G386">
            <v>3639</v>
          </cell>
          <cell r="H386">
            <v>-49.087499999999977</v>
          </cell>
          <cell r="J386">
            <v>1490.0181268993331</v>
          </cell>
          <cell r="K386">
            <v>1468</v>
          </cell>
          <cell r="L386">
            <v>-22.018126899333311</v>
          </cell>
          <cell r="N386">
            <v>353.34333333333342</v>
          </cell>
          <cell r="O386">
            <v>362.16666666666669</v>
          </cell>
          <cell r="P386">
            <v>8.8233333333333288</v>
          </cell>
          <cell r="R386">
            <v>1261.2327508966666</v>
          </cell>
          <cell r="S386">
            <v>1257.0833333333333</v>
          </cell>
          <cell r="T386">
            <v>-4.1494175633333539</v>
          </cell>
          <cell r="V386">
            <v>7736.9408777959989</v>
          </cell>
          <cell r="W386">
            <v>7656.583333333333</v>
          </cell>
          <cell r="X386">
            <v>-80.357544462666894</v>
          </cell>
        </row>
        <row r="387">
          <cell r="A387" t="str">
            <v>Nelson Marlborough DHB</v>
          </cell>
          <cell r="B387">
            <v>188.70796354166666</v>
          </cell>
          <cell r="C387">
            <v>185</v>
          </cell>
          <cell r="D387">
            <v>-3.7079635416666648</v>
          </cell>
          <cell r="F387">
            <v>660.46942187499997</v>
          </cell>
          <cell r="G387">
            <v>645</v>
          </cell>
          <cell r="H387">
            <v>-15.469421875000004</v>
          </cell>
          <cell r="J387">
            <v>562.61101562500005</v>
          </cell>
          <cell r="K387">
            <v>567</v>
          </cell>
          <cell r="L387">
            <v>4.3889843749999882</v>
          </cell>
          <cell r="N387">
            <v>102.44997916666667</v>
          </cell>
          <cell r="O387">
            <v>102</v>
          </cell>
          <cell r="P387">
            <v>-0.4499791666666641</v>
          </cell>
          <cell r="R387">
            <v>360.08955729166672</v>
          </cell>
          <cell r="S387">
            <v>333</v>
          </cell>
          <cell r="T387">
            <v>-27.089557291666676</v>
          </cell>
          <cell r="V387">
            <v>1874.3279375</v>
          </cell>
          <cell r="W387">
            <v>1832</v>
          </cell>
          <cell r="X387">
            <v>-42.327937500000019</v>
          </cell>
        </row>
        <row r="388">
          <cell r="A388" t="str">
            <v>South Canterbury DHB</v>
          </cell>
          <cell r="B388">
            <v>62.293333333333329</v>
          </cell>
          <cell r="C388">
            <v>67</v>
          </cell>
          <cell r="D388">
            <v>4.706666666666667</v>
          </cell>
          <cell r="F388">
            <v>332.04749999999996</v>
          </cell>
          <cell r="G388">
            <v>327</v>
          </cell>
          <cell r="H388">
            <v>-5.0475000000000039</v>
          </cell>
          <cell r="J388">
            <v>101.90999999999998</v>
          </cell>
          <cell r="K388">
            <v>113</v>
          </cell>
          <cell r="L388">
            <v>11.090000000000002</v>
          </cell>
          <cell r="N388">
            <v>51.045833333333341</v>
          </cell>
          <cell r="O388">
            <v>51</v>
          </cell>
          <cell r="P388">
            <v>-4.5833333333333094E-2</v>
          </cell>
          <cell r="R388">
            <v>121.38083333333333</v>
          </cell>
          <cell r="S388">
            <v>123</v>
          </cell>
          <cell r="T388">
            <v>1.6191666666666673</v>
          </cell>
          <cell r="V388">
            <v>668.6774999999999</v>
          </cell>
          <cell r="W388">
            <v>681</v>
          </cell>
          <cell r="X388">
            <v>12.322499999999991</v>
          </cell>
        </row>
        <row r="389">
          <cell r="A389" t="str">
            <v>Southern DHB</v>
          </cell>
          <cell r="B389">
            <v>519.05583333333334</v>
          </cell>
          <cell r="C389">
            <v>531.58916666666653</v>
          </cell>
          <cell r="D389">
            <v>12.533333333333095</v>
          </cell>
          <cell r="F389">
            <v>1641.3141666666668</v>
          </cell>
          <cell r="G389">
            <v>1635.8308333333152</v>
          </cell>
          <cell r="H389">
            <v>-5.483333333351311</v>
          </cell>
          <cell r="J389">
            <v>645.8658333333334</v>
          </cell>
          <cell r="K389">
            <v>660.61083333333124</v>
          </cell>
          <cell r="L389">
            <v>14.744999999997939</v>
          </cell>
          <cell r="N389">
            <v>124.94583333333333</v>
          </cell>
          <cell r="O389">
            <v>195.75</v>
          </cell>
          <cell r="P389">
            <v>70.80416666666666</v>
          </cell>
          <cell r="R389">
            <v>663.14583333333337</v>
          </cell>
          <cell r="S389">
            <v>675.43749999999727</v>
          </cell>
          <cell r="T389">
            <v>12.291666666663938</v>
          </cell>
          <cell r="V389">
            <v>3594.3274999999994</v>
          </cell>
          <cell r="W389">
            <v>3699.2183333333101</v>
          </cell>
          <cell r="X389">
            <v>104.89083333331037</v>
          </cell>
        </row>
        <row r="390">
          <cell r="A390" t="str">
            <v>West Coast DHB</v>
          </cell>
          <cell r="B390">
            <v>38.701666666666661</v>
          </cell>
          <cell r="C390">
            <v>41.5</v>
          </cell>
          <cell r="D390">
            <v>2.7983333333333333</v>
          </cell>
          <cell r="F390">
            <v>323.77583333333331</v>
          </cell>
          <cell r="G390">
            <v>328</v>
          </cell>
          <cell r="H390">
            <v>4.2241666666666662</v>
          </cell>
          <cell r="J390">
            <v>177.53499999999997</v>
          </cell>
          <cell r="K390">
            <v>146.70000000000002</v>
          </cell>
          <cell r="L390">
            <v>-30.835000000000008</v>
          </cell>
          <cell r="N390">
            <v>17.8</v>
          </cell>
          <cell r="O390">
            <v>22</v>
          </cell>
          <cell r="P390">
            <v>4.2</v>
          </cell>
          <cell r="R390">
            <v>125.7625</v>
          </cell>
          <cell r="S390">
            <v>118</v>
          </cell>
          <cell r="T390">
            <v>-7.7624999999999993</v>
          </cell>
          <cell r="V390">
            <v>683.57500000000016</v>
          </cell>
          <cell r="W390">
            <v>656.19999999999993</v>
          </cell>
          <cell r="X390">
            <v>-27.374999999999915</v>
          </cell>
        </row>
        <row r="391">
          <cell r="A391" t="str">
            <v>Southern Region Total</v>
          </cell>
          <cell r="B391">
            <v>1753.0179635416666</v>
          </cell>
          <cell r="C391">
            <v>1755.4225000000001</v>
          </cell>
          <cell r="D391">
            <v>2.4045364583330939</v>
          </cell>
          <cell r="F391">
            <v>6645.6944218749995</v>
          </cell>
          <cell r="G391">
            <v>6574.8308333333152</v>
          </cell>
          <cell r="H391">
            <v>-70.863588541684635</v>
          </cell>
          <cell r="J391">
            <v>2977.939975857666</v>
          </cell>
          <cell r="K391">
            <v>2955.3108333333312</v>
          </cell>
          <cell r="L391">
            <v>-22.629142524335389</v>
          </cell>
          <cell r="N391">
            <v>649.5849791666667</v>
          </cell>
          <cell r="O391">
            <v>732.91666666666674</v>
          </cell>
          <cell r="P391">
            <v>83.331687500000001</v>
          </cell>
          <cell r="R391">
            <v>2531.6114748549999</v>
          </cell>
          <cell r="S391">
            <v>2506.5208333333303</v>
          </cell>
          <cell r="T391">
            <v>-25.090641521669422</v>
          </cell>
          <cell r="V391">
            <v>14557.848815295998</v>
          </cell>
          <cell r="W391">
            <v>14525.001666666643</v>
          </cell>
          <cell r="X391">
            <v>-32.847148629356468</v>
          </cell>
        </row>
        <row r="393">
          <cell r="A393" t="str">
            <v>TOTAL</v>
          </cell>
          <cell r="B393">
            <v>8824.3729218749995</v>
          </cell>
          <cell r="C393">
            <v>8885.8960999999999</v>
          </cell>
          <cell r="D393">
            <v>61.523178125000264</v>
          </cell>
          <cell r="F393">
            <v>27076.594905208331</v>
          </cell>
          <cell r="G393">
            <v>26602.836324999982</v>
          </cell>
          <cell r="H393">
            <v>-473.7585802083513</v>
          </cell>
          <cell r="J393">
            <v>12103.026775857665</v>
          </cell>
          <cell r="K393">
            <v>12336.634358333331</v>
          </cell>
          <cell r="L393">
            <v>233.60758247566628</v>
          </cell>
          <cell r="N393">
            <v>3093.7079874999999</v>
          </cell>
          <cell r="O393">
            <v>3223.2708083333328</v>
          </cell>
          <cell r="P393">
            <v>129.56282083333335</v>
          </cell>
          <cell r="R393">
            <v>10334.216316521666</v>
          </cell>
          <cell r="S393">
            <v>10388.439499999999</v>
          </cell>
          <cell r="T393">
            <v>54.223183478331215</v>
          </cell>
          <cell r="V393">
            <v>61431.918906962666</v>
          </cell>
          <cell r="W393">
            <v>61437.077091666644</v>
          </cell>
          <cell r="X393">
            <v>5.1581847039754694</v>
          </cell>
        </row>
        <row r="410">
          <cell r="V410" t="str">
            <v>Actual</v>
          </cell>
        </row>
        <row r="412">
          <cell r="A412" t="str">
            <v>Auckland DHB</v>
          </cell>
          <cell r="B412">
            <v>1712.9220333333333</v>
          </cell>
          <cell r="C412">
            <v>1652.8642</v>
          </cell>
          <cell r="D412">
            <v>-60.05783333333337</v>
          </cell>
          <cell r="F412">
            <v>3564.6458333333335</v>
          </cell>
          <cell r="G412">
            <v>3404.8708333333329</v>
          </cell>
          <cell r="H412">
            <v>-159.77500000000009</v>
          </cell>
          <cell r="J412">
            <v>1838.2375000000002</v>
          </cell>
          <cell r="K412">
            <v>1850.0791666666662</v>
          </cell>
          <cell r="L412">
            <v>11.841666666666583</v>
          </cell>
          <cell r="N412">
            <v>383.26</v>
          </cell>
          <cell r="O412">
            <v>418.06000000000012</v>
          </cell>
          <cell r="P412">
            <v>34.800000000000004</v>
          </cell>
          <cell r="R412">
            <v>1234.4916666666666</v>
          </cell>
          <cell r="S412">
            <v>1298.4466666666665</v>
          </cell>
          <cell r="T412">
            <v>63.954999999999906</v>
          </cell>
          <cell r="V412">
            <v>8733.5570333333326</v>
          </cell>
          <cell r="W412">
            <v>8624.3208666666669</v>
          </cell>
          <cell r="X412">
            <v>-109.23616666666703</v>
          </cell>
        </row>
        <row r="413">
          <cell r="A413" t="str">
            <v>Counties Manukau DHB</v>
          </cell>
          <cell r="B413">
            <v>989.75</v>
          </cell>
          <cell r="C413">
            <v>1094.8458333333333</v>
          </cell>
          <cell r="D413">
            <v>105.09583333333335</v>
          </cell>
          <cell r="F413">
            <v>2771.3333333333335</v>
          </cell>
          <cell r="G413">
            <v>2660.5624999999995</v>
          </cell>
          <cell r="H413">
            <v>-110.7708333333333</v>
          </cell>
          <cell r="J413">
            <v>1099</v>
          </cell>
          <cell r="K413">
            <v>1171.5983333333336</v>
          </cell>
          <cell r="L413">
            <v>72.598333333333343</v>
          </cell>
          <cell r="N413">
            <v>499.58333333333331</v>
          </cell>
          <cell r="O413">
            <v>499.88000000000005</v>
          </cell>
          <cell r="P413">
            <v>0.29666666666668107</v>
          </cell>
          <cell r="R413">
            <v>900.75</v>
          </cell>
          <cell r="S413">
            <v>924.99666666666644</v>
          </cell>
          <cell r="T413">
            <v>24.246666666666659</v>
          </cell>
          <cell r="V413">
            <v>6260.416666666667</v>
          </cell>
          <cell r="W413">
            <v>6351.8833333333341</v>
          </cell>
          <cell r="X413">
            <v>91.466666666666541</v>
          </cell>
        </row>
        <row r="414">
          <cell r="A414" t="str">
            <v>Northland DHB</v>
          </cell>
          <cell r="B414">
            <v>290.18193333333329</v>
          </cell>
          <cell r="C414">
            <v>308.6583333333333</v>
          </cell>
          <cell r="D414">
            <v>18.476400000000002</v>
          </cell>
          <cell r="F414">
            <v>1046.6758083333332</v>
          </cell>
          <cell r="G414">
            <v>1036.0616666666665</v>
          </cell>
          <cell r="H414">
            <v>-10.614141666666598</v>
          </cell>
          <cell r="J414">
            <v>505.25510000000003</v>
          </cell>
          <cell r="K414">
            <v>533.34166666666681</v>
          </cell>
          <cell r="L414">
            <v>28.086566666666698</v>
          </cell>
          <cell r="N414">
            <v>98.973991666666663</v>
          </cell>
          <cell r="O414">
            <v>103.18499999999999</v>
          </cell>
          <cell r="P414">
            <v>4.2110083333333348</v>
          </cell>
          <cell r="R414">
            <v>400.56332500000002</v>
          </cell>
          <cell r="S414">
            <v>388.09499999999997</v>
          </cell>
          <cell r="T414">
            <v>-12.468324999999988</v>
          </cell>
          <cell r="V414">
            <v>2341.6501583333338</v>
          </cell>
          <cell r="W414">
            <v>2369.3416666666667</v>
          </cell>
          <cell r="X414">
            <v>27.691508333333257</v>
          </cell>
        </row>
        <row r="415">
          <cell r="A415" t="str">
            <v>Waitemata DHB</v>
          </cell>
          <cell r="B415">
            <v>925.32333333333327</v>
          </cell>
          <cell r="C415">
            <v>996.37333333333356</v>
          </cell>
          <cell r="D415">
            <v>71.049999999999969</v>
          </cell>
          <cell r="F415">
            <v>2884.7975000000001</v>
          </cell>
          <cell r="G415">
            <v>2944.52</v>
          </cell>
          <cell r="H415">
            <v>59.722499999999968</v>
          </cell>
          <cell r="J415">
            <v>1531.2524999999998</v>
          </cell>
          <cell r="K415">
            <v>1614.6000000000001</v>
          </cell>
          <cell r="L415">
            <v>83.347499999999911</v>
          </cell>
          <cell r="N415">
            <v>367.07583333333332</v>
          </cell>
          <cell r="O415">
            <v>405.73</v>
          </cell>
          <cell r="P415">
            <v>38.654166666666683</v>
          </cell>
          <cell r="R415">
            <v>914.77666666666664</v>
          </cell>
          <cell r="S415">
            <v>856</v>
          </cell>
          <cell r="T415">
            <v>-58.776666666666664</v>
          </cell>
          <cell r="V415">
            <v>6623.2258333333339</v>
          </cell>
          <cell r="W415">
            <v>6817.2233333333324</v>
          </cell>
          <cell r="X415">
            <v>193.99749999999904</v>
          </cell>
        </row>
        <row r="416">
          <cell r="A416" t="str">
            <v>Northern Region Total</v>
          </cell>
          <cell r="B416">
            <v>3918.1772999999998</v>
          </cell>
          <cell r="C416">
            <v>4052.7417</v>
          </cell>
          <cell r="D416">
            <v>134.56439999999995</v>
          </cell>
          <cell r="F416">
            <v>10267.452475</v>
          </cell>
          <cell r="G416">
            <v>10046.014999999999</v>
          </cell>
          <cell r="H416">
            <v>-221.43747500000006</v>
          </cell>
          <cell r="J416">
            <v>4973.7451000000001</v>
          </cell>
          <cell r="K416">
            <v>5169.6191666666664</v>
          </cell>
          <cell r="L416">
            <v>195.87406666666652</v>
          </cell>
          <cell r="N416">
            <v>1348.8931583333333</v>
          </cell>
          <cell r="O416">
            <v>1426.855</v>
          </cell>
          <cell r="P416">
            <v>77.9618416666667</v>
          </cell>
          <cell r="R416">
            <v>3450.5816583333335</v>
          </cell>
          <cell r="S416">
            <v>3467.5383333333325</v>
          </cell>
          <cell r="T416">
            <v>16.956674999999912</v>
          </cell>
          <cell r="V416">
            <v>23958.849691666666</v>
          </cell>
          <cell r="W416">
            <v>24162.769199999999</v>
          </cell>
          <cell r="X416">
            <v>203.91950833333181</v>
          </cell>
        </row>
        <row r="418">
          <cell r="A418" t="str">
            <v>Bay of Plenty DHB</v>
          </cell>
          <cell r="B418">
            <v>334.27833333333336</v>
          </cell>
          <cell r="C418">
            <v>339</v>
          </cell>
          <cell r="D418">
            <v>4.7216666666666685</v>
          </cell>
          <cell r="F418">
            <v>1189.4425000000001</v>
          </cell>
          <cell r="G418">
            <v>1112</v>
          </cell>
          <cell r="H418">
            <v>-77.44250000000001</v>
          </cell>
          <cell r="J418">
            <v>495.7641666666666</v>
          </cell>
          <cell r="K418">
            <v>483</v>
          </cell>
          <cell r="L418">
            <v>-12.764166666666663</v>
          </cell>
          <cell r="N418">
            <v>115.18166666666667</v>
          </cell>
          <cell r="O418">
            <v>115</v>
          </cell>
          <cell r="P418">
            <v>-0.18166666666666723</v>
          </cell>
          <cell r="R418">
            <v>491.0625</v>
          </cell>
          <cell r="S418">
            <v>467.5</v>
          </cell>
          <cell r="T418">
            <v>-23.562500000000011</v>
          </cell>
          <cell r="V418">
            <v>2625.729166666667</v>
          </cell>
          <cell r="W418">
            <v>2516.5</v>
          </cell>
          <cell r="X418">
            <v>-109.2291666666667</v>
          </cell>
        </row>
        <row r="419">
          <cell r="A419" t="str">
            <v>Lakes DHB</v>
          </cell>
          <cell r="B419">
            <v>165.75</v>
          </cell>
          <cell r="C419">
            <v>175.87043333333327</v>
          </cell>
          <cell r="D419">
            <v>10.120433333333287</v>
          </cell>
          <cell r="F419">
            <v>532.16666666666663</v>
          </cell>
          <cell r="G419">
            <v>516.79049658333292</v>
          </cell>
          <cell r="H419">
            <v>-15.376170083333767</v>
          </cell>
          <cell r="J419">
            <v>200.08333333333334</v>
          </cell>
          <cell r="K419">
            <v>204.67319308333336</v>
          </cell>
          <cell r="L419">
            <v>4.5898597500000617</v>
          </cell>
          <cell r="N419">
            <v>64.666666666666671</v>
          </cell>
          <cell r="O419">
            <v>64.100000000000009</v>
          </cell>
          <cell r="P419">
            <v>-0.56666666666666343</v>
          </cell>
          <cell r="R419">
            <v>251.16666666666666</v>
          </cell>
          <cell r="S419">
            <v>261.13319999999993</v>
          </cell>
          <cell r="T419">
            <v>9.9665333333332526</v>
          </cell>
          <cell r="V419">
            <v>1213.8333333333333</v>
          </cell>
          <cell r="W419">
            <v>1222.5673229999995</v>
          </cell>
          <cell r="X419">
            <v>8.7339896666661616</v>
          </cell>
        </row>
        <row r="420">
          <cell r="A420" t="str">
            <v>Tairawhiti DHB</v>
          </cell>
          <cell r="B420">
            <v>69.916666666666671</v>
          </cell>
          <cell r="C420">
            <v>70</v>
          </cell>
          <cell r="D420">
            <v>8.3333333333333329E-2</v>
          </cell>
          <cell r="F420">
            <v>288.75</v>
          </cell>
          <cell r="G420">
            <v>279</v>
          </cell>
          <cell r="H420">
            <v>-9.75</v>
          </cell>
          <cell r="J420">
            <v>155.41666666666666</v>
          </cell>
          <cell r="K420">
            <v>150</v>
          </cell>
          <cell r="L420">
            <v>-5.416666666666667</v>
          </cell>
          <cell r="N420">
            <v>17.75</v>
          </cell>
          <cell r="O420">
            <v>18</v>
          </cell>
          <cell r="P420">
            <v>0.25</v>
          </cell>
          <cell r="R420">
            <v>130.58333333333334</v>
          </cell>
          <cell r="S420">
            <v>136.61999999999998</v>
          </cell>
          <cell r="T420">
            <v>6.0366666666666715</v>
          </cell>
          <cell r="V420">
            <v>662.41666666666663</v>
          </cell>
          <cell r="W420">
            <v>653.62</v>
          </cell>
          <cell r="X420">
            <v>-8.7966666666666615</v>
          </cell>
        </row>
        <row r="421">
          <cell r="A421" t="str">
            <v>Taranaki DHB</v>
          </cell>
          <cell r="B421">
            <v>161.15833333333333</v>
          </cell>
          <cell r="C421">
            <v>164.97500000000002</v>
          </cell>
          <cell r="D421">
            <v>3.8166666666666651</v>
          </cell>
          <cell r="F421">
            <v>616.70000000000005</v>
          </cell>
          <cell r="G421">
            <v>590</v>
          </cell>
          <cell r="H421">
            <v>-26.700000000000006</v>
          </cell>
          <cell r="J421">
            <v>270.81916666666666</v>
          </cell>
          <cell r="K421">
            <v>280.97499999999997</v>
          </cell>
          <cell r="L421">
            <v>10.155833333333325</v>
          </cell>
          <cell r="N421">
            <v>99.196666666666658</v>
          </cell>
          <cell r="O421">
            <v>94</v>
          </cell>
          <cell r="P421">
            <v>-5.1966666666666654</v>
          </cell>
          <cell r="R421">
            <v>287.41500000000002</v>
          </cell>
          <cell r="S421">
            <v>293.98333333333329</v>
          </cell>
          <cell r="T421">
            <v>6.5683333333333307</v>
          </cell>
          <cell r="V421">
            <v>1435.2891666666667</v>
          </cell>
          <cell r="W421">
            <v>1423.9333333333334</v>
          </cell>
          <cell r="X421">
            <v>-11.35583333333337</v>
          </cell>
        </row>
        <row r="422">
          <cell r="A422" t="str">
            <v>Waikato DHB</v>
          </cell>
          <cell r="B422">
            <v>767.92583333333334</v>
          </cell>
          <cell r="C422">
            <v>752.25499999999977</v>
          </cell>
          <cell r="D422">
            <v>-15.670833333333567</v>
          </cell>
          <cell r="F422">
            <v>2586.2033333333334</v>
          </cell>
          <cell r="G422">
            <v>2508.0824305555557</v>
          </cell>
          <cell r="H422">
            <v>-78.120902777777701</v>
          </cell>
          <cell r="J422">
            <v>1073.5933333333332</v>
          </cell>
          <cell r="K422">
            <v>1058.2441666666662</v>
          </cell>
          <cell r="L422">
            <v>-15.349166666667125</v>
          </cell>
          <cell r="N422">
            <v>348.64333333333326</v>
          </cell>
          <cell r="O422">
            <v>348.82819444444448</v>
          </cell>
          <cell r="P422">
            <v>0.18486111111108983</v>
          </cell>
          <cell r="R422">
            <v>1086.156666666667</v>
          </cell>
          <cell r="S422">
            <v>1110.4974999999993</v>
          </cell>
          <cell r="T422">
            <v>24.340833333332721</v>
          </cell>
          <cell r="V422">
            <v>5862.5224999999991</v>
          </cell>
          <cell r="W422">
            <v>5777.9072916666655</v>
          </cell>
          <cell r="X422">
            <v>-84.615208333334451</v>
          </cell>
        </row>
        <row r="423">
          <cell r="A423" t="str">
            <v>Midland Region Total</v>
          </cell>
          <cell r="B423">
            <v>1499.0291666666667</v>
          </cell>
          <cell r="C423">
            <v>1502.1004333333331</v>
          </cell>
          <cell r="D423">
            <v>3.0712666666663875</v>
          </cell>
          <cell r="F423">
            <v>5213.2625000000007</v>
          </cell>
          <cell r="G423">
            <v>5005.8729271388893</v>
          </cell>
          <cell r="H423">
            <v>-207.38957286111147</v>
          </cell>
          <cell r="J423">
            <v>2195.6766666666663</v>
          </cell>
          <cell r="K423">
            <v>2176.8923597499997</v>
          </cell>
          <cell r="L423">
            <v>-18.78430691666707</v>
          </cell>
          <cell r="N423">
            <v>645.43833333333328</v>
          </cell>
          <cell r="O423">
            <v>639.92819444444444</v>
          </cell>
          <cell r="P423">
            <v>-5.510138888888906</v>
          </cell>
          <cell r="R423">
            <v>2246.3841666666667</v>
          </cell>
          <cell r="S423">
            <v>2269.7340333333323</v>
          </cell>
          <cell r="T423">
            <v>23.349866666665967</v>
          </cell>
          <cell r="V423">
            <v>11799.790833333333</v>
          </cell>
          <cell r="W423">
            <v>11594.527947999999</v>
          </cell>
          <cell r="X423">
            <v>-205.26288533333502</v>
          </cell>
        </row>
        <row r="425">
          <cell r="A425" t="str">
            <v>Capital &amp; Coast DHB</v>
          </cell>
          <cell r="B425">
            <v>874.31410833333337</v>
          </cell>
          <cell r="C425">
            <v>863.03772500000002</v>
          </cell>
          <cell r="D425">
            <v>-11.276383333333333</v>
          </cell>
          <cell r="F425">
            <v>2238.7854166666671</v>
          </cell>
          <cell r="G425">
            <v>2256.5458166666667</v>
          </cell>
          <cell r="H425">
            <v>17.760400000000079</v>
          </cell>
          <cell r="J425">
            <v>707.29876666666644</v>
          </cell>
          <cell r="K425">
            <v>687.71510000000001</v>
          </cell>
          <cell r="L425">
            <v>-19.583666666666659</v>
          </cell>
          <cell r="N425">
            <v>140.98594999999997</v>
          </cell>
          <cell r="O425">
            <v>142.13630000000003</v>
          </cell>
          <cell r="P425">
            <v>1.1503500000000006</v>
          </cell>
          <cell r="R425">
            <v>841.12936666666656</v>
          </cell>
          <cell r="S425">
            <v>883.78730833333339</v>
          </cell>
          <cell r="T425">
            <v>42.657941666666659</v>
          </cell>
          <cell r="V425">
            <v>4802.5136083333337</v>
          </cell>
          <cell r="W425">
            <v>4833.2222499999998</v>
          </cell>
          <cell r="X425">
            <v>30.708641666667138</v>
          </cell>
        </row>
        <row r="426">
          <cell r="A426" t="str">
            <v>Hawke's Bay DHB</v>
          </cell>
          <cell r="B426">
            <v>317.86799999999999</v>
          </cell>
          <cell r="C426">
            <v>309.31666666666666</v>
          </cell>
          <cell r="D426">
            <v>-8.5513333333333321</v>
          </cell>
          <cell r="F426">
            <v>929.62083333333339</v>
          </cell>
          <cell r="G426">
            <v>923.58333333333337</v>
          </cell>
          <cell r="H426">
            <v>-6.0375000000000041</v>
          </cell>
          <cell r="J426">
            <v>438.63000000000005</v>
          </cell>
          <cell r="K426">
            <v>460.60833333333335</v>
          </cell>
          <cell r="L426">
            <v>21.978333333333325</v>
          </cell>
          <cell r="N426">
            <v>143.45666666666668</v>
          </cell>
          <cell r="O426">
            <v>137.22499999999999</v>
          </cell>
          <cell r="P426">
            <v>-6.2316666666666718</v>
          </cell>
          <cell r="R426">
            <v>403.58749999999992</v>
          </cell>
          <cell r="S426">
            <v>397.43333333333334</v>
          </cell>
          <cell r="T426">
            <v>-6.154166666666673</v>
          </cell>
          <cell r="V426">
            <v>2233.163</v>
          </cell>
          <cell r="W426">
            <v>2228.1666666666665</v>
          </cell>
          <cell r="X426">
            <v>-4.996333333333344</v>
          </cell>
        </row>
        <row r="427">
          <cell r="A427" t="str">
            <v>Hutt Valley DHB</v>
          </cell>
          <cell r="B427">
            <v>254.66666666666666</v>
          </cell>
          <cell r="C427">
            <v>259.07244166666658</v>
          </cell>
          <cell r="D427">
            <v>4.4057749999999798</v>
          </cell>
          <cell r="F427">
            <v>746.5</v>
          </cell>
          <cell r="G427">
            <v>746.62767499999927</v>
          </cell>
          <cell r="H427">
            <v>0.12767499999928114</v>
          </cell>
          <cell r="J427">
            <v>380.66666666666669</v>
          </cell>
          <cell r="K427">
            <v>395.12786666666625</v>
          </cell>
          <cell r="L427">
            <v>14.461199999999584</v>
          </cell>
          <cell r="N427">
            <v>130.58333333333334</v>
          </cell>
          <cell r="O427">
            <v>137.52427500000002</v>
          </cell>
          <cell r="P427">
            <v>6.9409416666666814</v>
          </cell>
          <cell r="R427">
            <v>317.52416666666664</v>
          </cell>
          <cell r="S427">
            <v>325.62249999999989</v>
          </cell>
          <cell r="T427">
            <v>8.0983333333331728</v>
          </cell>
          <cell r="V427">
            <v>1829.9408333333333</v>
          </cell>
          <cell r="W427">
            <v>1863.9747583333326</v>
          </cell>
          <cell r="X427">
            <v>34.03392499999876</v>
          </cell>
        </row>
        <row r="428">
          <cell r="A428" t="str">
            <v>MidCentral DHB</v>
          </cell>
          <cell r="B428">
            <v>321.15749999999997</v>
          </cell>
          <cell r="C428">
            <v>319.08333333333331</v>
          </cell>
          <cell r="D428">
            <v>-2.0741666666666752</v>
          </cell>
          <cell r="F428">
            <v>986.26833333333343</v>
          </cell>
          <cell r="G428">
            <v>960.91666666666663</v>
          </cell>
          <cell r="H428">
            <v>-25.351666666666688</v>
          </cell>
          <cell r="J428">
            <v>401.75083333333328</v>
          </cell>
          <cell r="K428">
            <v>416.08333333333331</v>
          </cell>
          <cell r="L428">
            <v>14.332500000000001</v>
          </cell>
          <cell r="N428">
            <v>44.03</v>
          </cell>
          <cell r="O428">
            <v>48.666666666666664</v>
          </cell>
          <cell r="P428">
            <v>4.6366666666666667</v>
          </cell>
          <cell r="R428">
            <v>488.50666666666666</v>
          </cell>
          <cell r="S428">
            <v>499</v>
          </cell>
          <cell r="T428">
            <v>10.493333333333334</v>
          </cell>
          <cell r="V428">
            <v>2241.7133333333331</v>
          </cell>
          <cell r="W428">
            <v>2243.75</v>
          </cell>
          <cell r="X428">
            <v>2.0366666666666333</v>
          </cell>
        </row>
        <row r="429">
          <cell r="A429" t="str">
            <v>Wairarapa DHB</v>
          </cell>
          <cell r="B429">
            <v>42.822499999999998</v>
          </cell>
          <cell r="C429">
            <v>43.399883333333328</v>
          </cell>
          <cell r="D429">
            <v>0.57738333333332592</v>
          </cell>
          <cell r="F429">
            <v>235.82225000000003</v>
          </cell>
          <cell r="G429">
            <v>232.5243333333334</v>
          </cell>
          <cell r="H429">
            <v>-3.2979166666666182</v>
          </cell>
          <cell r="J429">
            <v>68.52624999999999</v>
          </cell>
          <cell r="K429">
            <v>69.503950000000017</v>
          </cell>
          <cell r="L429">
            <v>0.97770000000001056</v>
          </cell>
          <cell r="N429">
            <v>16.129916666666666</v>
          </cell>
          <cell r="O429">
            <v>15.309691666666664</v>
          </cell>
          <cell r="P429">
            <v>-0.82022500000000109</v>
          </cell>
          <cell r="R429">
            <v>94.667666666666662</v>
          </cell>
          <cell r="S429">
            <v>92.415049999999965</v>
          </cell>
          <cell r="T429">
            <v>-2.2526166666667002</v>
          </cell>
          <cell r="V429">
            <v>457.96858333333336</v>
          </cell>
          <cell r="W429">
            <v>453.15290833333341</v>
          </cell>
          <cell r="X429">
            <v>-4.8156749999999517</v>
          </cell>
        </row>
        <row r="430">
          <cell r="A430" t="str">
            <v>Whanganui DHB</v>
          </cell>
          <cell r="B430">
            <v>96.762299999999996</v>
          </cell>
          <cell r="C430">
            <v>96.692499999999995</v>
          </cell>
          <cell r="D430">
            <v>-6.9799999999999571E-2</v>
          </cell>
          <cell r="F430">
            <v>419.66205833333333</v>
          </cell>
          <cell r="G430">
            <v>391.51916666666625</v>
          </cell>
          <cell r="H430">
            <v>-28.142891666666994</v>
          </cell>
          <cell r="J430">
            <v>145.11883333333333</v>
          </cell>
          <cell r="K430">
            <v>145.68000000000006</v>
          </cell>
          <cell r="L430">
            <v>0.56116666666672421</v>
          </cell>
          <cell r="N430">
            <v>17.896716666666666</v>
          </cell>
          <cell r="O430">
            <v>18.127499999999998</v>
          </cell>
          <cell r="P430">
            <v>0.23078333333332957</v>
          </cell>
          <cell r="R430">
            <v>176.83643333333336</v>
          </cell>
          <cell r="S430">
            <v>175.74083333333331</v>
          </cell>
          <cell r="T430">
            <v>-1.0955999999999833</v>
          </cell>
          <cell r="V430">
            <v>856.27634166666667</v>
          </cell>
          <cell r="W430">
            <v>827.75999999999965</v>
          </cell>
          <cell r="X430">
            <v>-28.51634166666695</v>
          </cell>
        </row>
        <row r="431">
          <cell r="A431" t="str">
            <v>Central Region Total</v>
          </cell>
          <cell r="B431">
            <v>1907.5910750000003</v>
          </cell>
          <cell r="C431">
            <v>1890.6025500000001</v>
          </cell>
          <cell r="D431">
            <v>-16.988525000000035</v>
          </cell>
          <cell r="F431">
            <v>5556.6588916666669</v>
          </cell>
          <cell r="G431">
            <v>5511.7169916666662</v>
          </cell>
          <cell r="H431">
            <v>-44.941900000000942</v>
          </cell>
          <cell r="J431">
            <v>2141.9913499999998</v>
          </cell>
          <cell r="K431">
            <v>2174.7185833333333</v>
          </cell>
          <cell r="L431">
            <v>32.72723333333299</v>
          </cell>
          <cell r="N431">
            <v>493.08258333333328</v>
          </cell>
          <cell r="O431">
            <v>498.98943333333335</v>
          </cell>
          <cell r="P431">
            <v>5.9068500000000057</v>
          </cell>
          <cell r="R431">
            <v>2322.2518</v>
          </cell>
          <cell r="S431">
            <v>2373.9990250000001</v>
          </cell>
          <cell r="T431">
            <v>51.747224999999808</v>
          </cell>
          <cell r="V431">
            <v>12421.575700000001</v>
          </cell>
          <cell r="W431">
            <v>12450.026583333332</v>
          </cell>
          <cell r="X431">
            <v>28.450883333332289</v>
          </cell>
        </row>
        <row r="433">
          <cell r="A433" t="str">
            <v>Canterbury DHB</v>
          </cell>
          <cell r="B433">
            <v>972.48249999999996</v>
          </cell>
          <cell r="C433">
            <v>954.85951388888896</v>
          </cell>
          <cell r="D433">
            <v>-17.622986111110993</v>
          </cell>
          <cell r="F433">
            <v>3634.6233333333334</v>
          </cell>
          <cell r="G433">
            <v>3631.9041666666672</v>
          </cell>
          <cell r="H433">
            <v>-2.7191666666664864</v>
          </cell>
          <cell r="J433">
            <v>1520.0266666666666</v>
          </cell>
          <cell r="K433">
            <v>1513.2181268995721</v>
          </cell>
          <cell r="L433">
            <v>-6.8085397670944117</v>
          </cell>
          <cell r="N433">
            <v>433.28500000000003</v>
          </cell>
          <cell r="O433">
            <v>415.2766666666667</v>
          </cell>
          <cell r="P433">
            <v>-18.008333333333251</v>
          </cell>
          <cell r="R433">
            <v>1282.5316666666668</v>
          </cell>
          <cell r="S433">
            <v>1294.4327508969332</v>
          </cell>
          <cell r="T433">
            <v>11.901084230266747</v>
          </cell>
          <cell r="V433">
            <v>7842.9491666666663</v>
          </cell>
          <cell r="W433">
            <v>7809.6912250187297</v>
          </cell>
          <cell r="X433">
            <v>-33.257941647938196</v>
          </cell>
        </row>
        <row r="434">
          <cell r="A434" t="str">
            <v>Nelson Marlborough DHB</v>
          </cell>
          <cell r="B434">
            <v>196.32333333333335</v>
          </cell>
          <cell r="C434">
            <v>204.77666666666664</v>
          </cell>
          <cell r="D434">
            <v>8.4533333333333349</v>
          </cell>
          <cell r="F434">
            <v>670.56583333333333</v>
          </cell>
          <cell r="G434">
            <v>669.16666666666663</v>
          </cell>
          <cell r="H434">
            <v>-1.3991666666666636</v>
          </cell>
          <cell r="J434">
            <v>567.78750000000002</v>
          </cell>
          <cell r="K434">
            <v>595.91666666666663</v>
          </cell>
          <cell r="L434">
            <v>28.129166666666663</v>
          </cell>
          <cell r="N434">
            <v>102.0625</v>
          </cell>
          <cell r="O434">
            <v>103</v>
          </cell>
          <cell r="P434">
            <v>0.9375</v>
          </cell>
          <cell r="R434">
            <v>348.87083333333334</v>
          </cell>
          <cell r="S434">
            <v>361.83333333333331</v>
          </cell>
          <cell r="T434">
            <v>12.9625</v>
          </cell>
          <cell r="V434">
            <v>1885.61</v>
          </cell>
          <cell r="W434">
            <v>1934.6933333333334</v>
          </cell>
          <cell r="X434">
            <v>49.083333333333293</v>
          </cell>
        </row>
        <row r="435">
          <cell r="A435" t="str">
            <v>South Canterbury DHB</v>
          </cell>
          <cell r="B435">
            <v>62.383333333333333</v>
          </cell>
          <cell r="C435">
            <v>68.549999999999983</v>
          </cell>
          <cell r="D435">
            <v>6.1666666666666634</v>
          </cell>
          <cell r="F435">
            <v>329.0625</v>
          </cell>
          <cell r="G435">
            <v>345.58</v>
          </cell>
          <cell r="H435">
            <v>16.517499999999981</v>
          </cell>
          <cell r="J435">
            <v>88.798333333333332</v>
          </cell>
          <cell r="K435">
            <v>94.899999999999991</v>
          </cell>
          <cell r="L435">
            <v>6.1016666666666737</v>
          </cell>
          <cell r="N435">
            <v>50.998333333333328</v>
          </cell>
          <cell r="O435">
            <v>50.69</v>
          </cell>
          <cell r="P435">
            <v>-0.30833333333333535</v>
          </cell>
          <cell r="R435">
            <v>116.28750000000001</v>
          </cell>
          <cell r="S435">
            <v>118</v>
          </cell>
          <cell r="T435">
            <v>1.7124999999999997</v>
          </cell>
          <cell r="V435">
            <v>647.53000000000009</v>
          </cell>
          <cell r="W435">
            <v>677.72000000000014</v>
          </cell>
          <cell r="X435">
            <v>30.190000000000037</v>
          </cell>
        </row>
        <row r="436">
          <cell r="A436" t="str">
            <v>Southern DHB</v>
          </cell>
          <cell r="B436">
            <v>527.58166666666671</v>
          </cell>
          <cell r="C436">
            <v>538.0383333333333</v>
          </cell>
          <cell r="D436">
            <v>10.456666666666607</v>
          </cell>
          <cell r="F436">
            <v>1663.4866666666667</v>
          </cell>
          <cell r="G436">
            <v>1656.5708333333332</v>
          </cell>
          <cell r="H436">
            <v>-6.915833333333353</v>
          </cell>
          <cell r="J436">
            <v>668.19333333333327</v>
          </cell>
          <cell r="K436">
            <v>660.9799999999999</v>
          </cell>
          <cell r="L436">
            <v>-7.2133333333333285</v>
          </cell>
          <cell r="N436">
            <v>102.29916666666666</v>
          </cell>
          <cell r="O436">
            <v>105.20000000000003</v>
          </cell>
          <cell r="P436">
            <v>2.9008333333333298</v>
          </cell>
          <cell r="R436">
            <v>674.6149999999999</v>
          </cell>
          <cell r="S436">
            <v>686.38083333333327</v>
          </cell>
          <cell r="T436">
            <v>11.765833333333338</v>
          </cell>
          <cell r="V436">
            <v>3636.1758333333332</v>
          </cell>
          <cell r="W436">
            <v>3647.1700000000005</v>
          </cell>
          <cell r="X436">
            <v>10.99416666666688</v>
          </cell>
        </row>
        <row r="437">
          <cell r="A437" t="str">
            <v>West Coast DHB</v>
          </cell>
          <cell r="B437">
            <v>39.252527777749997</v>
          </cell>
          <cell r="C437">
            <v>39.999999999999993</v>
          </cell>
          <cell r="D437">
            <v>0.74747222224999865</v>
          </cell>
          <cell r="F437">
            <v>325.26228472224994</v>
          </cell>
          <cell r="G437">
            <v>322.00833333333333</v>
          </cell>
          <cell r="H437">
            <v>-3.2539513889166662</v>
          </cell>
          <cell r="J437">
            <v>178.077145</v>
          </cell>
          <cell r="K437">
            <v>176.98333333333335</v>
          </cell>
          <cell r="L437">
            <v>-1.0938116666666697</v>
          </cell>
          <cell r="N437">
            <v>18.063921874999998</v>
          </cell>
          <cell r="O437">
            <v>18</v>
          </cell>
          <cell r="P437">
            <v>-6.3921875000000419E-2</v>
          </cell>
          <cell r="R437">
            <v>125.57087727083335</v>
          </cell>
          <cell r="S437">
            <v>125.00833333333334</v>
          </cell>
          <cell r="T437">
            <v>-0.56254393750000042</v>
          </cell>
          <cell r="V437">
            <v>686.22675664583346</v>
          </cell>
          <cell r="W437">
            <v>682</v>
          </cell>
          <cell r="X437">
            <v>-4.2267566458333574</v>
          </cell>
        </row>
        <row r="438">
          <cell r="A438" t="str">
            <v>Southern Region Total</v>
          </cell>
          <cell r="B438">
            <v>1798.0233611110834</v>
          </cell>
          <cell r="C438">
            <v>1806.2245138888889</v>
          </cell>
          <cell r="D438">
            <v>8.2011527778056106</v>
          </cell>
          <cell r="F438">
            <v>6623.0006180555838</v>
          </cell>
          <cell r="G438">
            <v>6625.2300000000005</v>
          </cell>
          <cell r="H438">
            <v>2.2293819444168101</v>
          </cell>
          <cell r="J438">
            <v>3022.8829783333331</v>
          </cell>
          <cell r="K438">
            <v>3041.9981268995725</v>
          </cell>
          <cell r="L438">
            <v>19.115148566238926</v>
          </cell>
          <cell r="N438">
            <v>706.7089218750001</v>
          </cell>
          <cell r="O438">
            <v>692.16666666666674</v>
          </cell>
          <cell r="P438">
            <v>-14.542255208333255</v>
          </cell>
          <cell r="R438">
            <v>2547.8758772708334</v>
          </cell>
          <cell r="S438">
            <v>2585.655250896933</v>
          </cell>
          <cell r="T438">
            <v>37.779373626100082</v>
          </cell>
          <cell r="V438">
            <v>14698.491756645833</v>
          </cell>
          <cell r="W438">
            <v>14751.274558352063</v>
          </cell>
          <cell r="X438">
            <v>52.782801706228653</v>
          </cell>
        </row>
        <row r="439">
          <cell r="A439" t="str">
            <v>Total</v>
          </cell>
          <cell r="B439">
            <v>9122.8209027777502</v>
          </cell>
          <cell r="C439">
            <v>9251.6691972222234</v>
          </cell>
          <cell r="D439">
            <v>128.84829444447163</v>
          </cell>
          <cell r="F439">
            <v>27660.374484722252</v>
          </cell>
          <cell r="G439">
            <v>27188.834918805558</v>
          </cell>
          <cell r="H439">
            <v>-471.53956591669311</v>
          </cell>
          <cell r="J439">
            <v>12334.296095</v>
          </cell>
          <cell r="K439">
            <v>12563.228236649571</v>
          </cell>
          <cell r="L439">
            <v>228.93214164957348</v>
          </cell>
          <cell r="N439">
            <v>3194.1229968749999</v>
          </cell>
          <cell r="O439">
            <v>3257.9392944444444</v>
          </cell>
          <cell r="P439">
            <v>63.8162975694446</v>
          </cell>
          <cell r="R439">
            <v>10567.093502270835</v>
          </cell>
          <cell r="S439">
            <v>10696.9266425636</v>
          </cell>
          <cell r="T439">
            <v>129.83314029276562</v>
          </cell>
          <cell r="V439">
            <v>62878.707981645835</v>
          </cell>
          <cell r="W439">
            <v>62958.598289685389</v>
          </cell>
          <cell r="X439">
            <v>79.890308039559386</v>
          </cell>
        </row>
        <row r="456">
          <cell r="V456" t="str">
            <v>870 - Total Full Time Equivalents (FTE's)</v>
          </cell>
        </row>
        <row r="457">
          <cell r="B457" t="str">
            <v>Actual</v>
          </cell>
          <cell r="C457" t="str">
            <v xml:space="preserve">Plan </v>
          </cell>
          <cell r="D457" t="str">
            <v>Variance</v>
          </cell>
          <cell r="F457" t="str">
            <v>Actual</v>
          </cell>
          <cell r="G457" t="str">
            <v xml:space="preserve">Plan </v>
          </cell>
          <cell r="H457" t="str">
            <v>Variance</v>
          </cell>
          <cell r="J457" t="str">
            <v>Actual</v>
          </cell>
          <cell r="K457" t="str">
            <v xml:space="preserve">Plan </v>
          </cell>
          <cell r="L457" t="str">
            <v>Variance</v>
          </cell>
          <cell r="N457" t="str">
            <v>Actual</v>
          </cell>
          <cell r="O457" t="str">
            <v xml:space="preserve">Plan </v>
          </cell>
          <cell r="P457" t="str">
            <v>Variance</v>
          </cell>
          <cell r="R457" t="str">
            <v>Actual</v>
          </cell>
          <cell r="S457" t="str">
            <v xml:space="preserve">Plan </v>
          </cell>
          <cell r="T457" t="str">
            <v>Variance</v>
          </cell>
          <cell r="V457" t="str">
            <v>Actual</v>
          </cell>
          <cell r="W457" t="str">
            <v xml:space="preserve">Plan </v>
          </cell>
          <cell r="X457" t="str">
            <v>Variance</v>
          </cell>
        </row>
        <row r="459">
          <cell r="A459" t="str">
            <v>Auckland DHB</v>
          </cell>
          <cell r="B459">
            <v>1747.0079999999998</v>
          </cell>
          <cell r="C459">
            <v>1750.8417666666671</v>
          </cell>
          <cell r="D459">
            <v>3.8337666666667474</v>
          </cell>
          <cell r="F459">
            <v>3717.0791666666664</v>
          </cell>
          <cell r="G459">
            <v>3705.2816666666672</v>
          </cell>
          <cell r="H459">
            <v>-11.797500000000014</v>
          </cell>
          <cell r="J459">
            <v>1869.1724999999997</v>
          </cell>
          <cell r="K459">
            <v>1959.3641666666672</v>
          </cell>
          <cell r="L459">
            <v>90.19166666666672</v>
          </cell>
          <cell r="N459">
            <v>389.68666666666667</v>
          </cell>
          <cell r="O459">
            <v>430.5</v>
          </cell>
          <cell r="P459">
            <v>40.813333333333311</v>
          </cell>
          <cell r="R459">
            <v>1282.7525000000001</v>
          </cell>
          <cell r="S459">
            <v>1389.1391666666666</v>
          </cell>
          <cell r="T459">
            <v>106.38666666666667</v>
          </cell>
          <cell r="V459">
            <v>9005.6988333333338</v>
          </cell>
          <cell r="W459">
            <v>9235.1267666666663</v>
          </cell>
          <cell r="X459">
            <v>229.42793333333324</v>
          </cell>
        </row>
        <row r="460">
          <cell r="A460" t="str">
            <v>Counties Manukau DHB</v>
          </cell>
          <cell r="B460">
            <v>1023.6666666666666</v>
          </cell>
          <cell r="C460">
            <v>845.67916666666645</v>
          </cell>
          <cell r="D460">
            <v>-177.98750000000004</v>
          </cell>
          <cell r="F460">
            <v>2971</v>
          </cell>
          <cell r="G460">
            <v>2797.7633333333329</v>
          </cell>
          <cell r="H460">
            <v>-173.23666666666668</v>
          </cell>
          <cell r="J460">
            <v>1142</v>
          </cell>
          <cell r="K460">
            <v>1179.5141666666668</v>
          </cell>
          <cell r="L460">
            <v>37.514166666666711</v>
          </cell>
          <cell r="N460">
            <v>508.58333333333331</v>
          </cell>
          <cell r="O460">
            <v>531.2258333333333</v>
          </cell>
          <cell r="P460">
            <v>22.642500000000002</v>
          </cell>
          <cell r="R460">
            <v>901</v>
          </cell>
          <cell r="S460">
            <v>994.19500000000016</v>
          </cell>
          <cell r="T460">
            <v>93.195000000000064</v>
          </cell>
          <cell r="V460">
            <v>6546.25</v>
          </cell>
          <cell r="W460">
            <v>6348.3774999999996</v>
          </cell>
          <cell r="X460">
            <v>-197.87250000000026</v>
          </cell>
        </row>
        <row r="461">
          <cell r="A461" t="str">
            <v>Northland DHB</v>
          </cell>
          <cell r="B461">
            <v>308.48013333333336</v>
          </cell>
          <cell r="C461">
            <v>334.15008333333327</v>
          </cell>
          <cell r="D461">
            <v>25.669949999999968</v>
          </cell>
          <cell r="F461">
            <v>1110.4987083333333</v>
          </cell>
          <cell r="G461">
            <v>1090.5999999999997</v>
          </cell>
          <cell r="H461">
            <v>-19.898708333333428</v>
          </cell>
          <cell r="J461">
            <v>527.42291666666677</v>
          </cell>
          <cell r="K461">
            <v>541.79999999999995</v>
          </cell>
          <cell r="L461">
            <v>14.377083333333275</v>
          </cell>
          <cell r="N461">
            <v>100.55988333333335</v>
          </cell>
          <cell r="O461">
            <v>100.80000000000001</v>
          </cell>
          <cell r="P461">
            <v>0.24011666666666306</v>
          </cell>
          <cell r="R461">
            <v>411.61301666666668</v>
          </cell>
          <cell r="S461">
            <v>409.72</v>
          </cell>
          <cell r="T461">
            <v>-1.8930166666666253</v>
          </cell>
          <cell r="V461">
            <v>2458.5746583333334</v>
          </cell>
          <cell r="W461">
            <v>2477.0700833333335</v>
          </cell>
          <cell r="X461">
            <v>18.495425000000107</v>
          </cell>
        </row>
        <row r="462">
          <cell r="A462" t="str">
            <v>Waitemata DHB</v>
          </cell>
          <cell r="B462">
            <v>961.91750000000002</v>
          </cell>
          <cell r="C462">
            <v>986.39141666666671</v>
          </cell>
          <cell r="D462">
            <v>24.473916666666742</v>
          </cell>
          <cell r="F462">
            <v>2931.8466666666668</v>
          </cell>
          <cell r="G462">
            <v>2978.1524999999997</v>
          </cell>
          <cell r="H462">
            <v>46.305833333333567</v>
          </cell>
          <cell r="J462">
            <v>1537.2416666666668</v>
          </cell>
          <cell r="K462">
            <v>1641.156666666667</v>
          </cell>
          <cell r="L462">
            <v>103.91499999999995</v>
          </cell>
          <cell r="N462">
            <v>377.36583333333328</v>
          </cell>
          <cell r="O462">
            <v>411.24583333333322</v>
          </cell>
          <cell r="P462">
            <v>33.879999999999988</v>
          </cell>
          <cell r="R462">
            <v>937.32</v>
          </cell>
          <cell r="S462">
            <v>856</v>
          </cell>
          <cell r="T462">
            <v>-81.320000000000007</v>
          </cell>
          <cell r="V462">
            <v>6745.6916666666666</v>
          </cell>
          <cell r="W462">
            <v>6872.9464166666667</v>
          </cell>
          <cell r="X462">
            <v>127.25474999999983</v>
          </cell>
        </row>
        <row r="463">
          <cell r="A463" t="str">
            <v>Northern Region Total</v>
          </cell>
          <cell r="B463">
            <v>4041.0722999999998</v>
          </cell>
          <cell r="C463">
            <v>3917.062433333334</v>
          </cell>
          <cell r="D463">
            <v>-124.00986666666658</v>
          </cell>
          <cell r="F463">
            <v>10730.424541666667</v>
          </cell>
          <cell r="G463">
            <v>10571.797499999999</v>
          </cell>
          <cell r="H463">
            <v>-158.62704166666654</v>
          </cell>
          <cell r="J463">
            <v>5075.8370833333338</v>
          </cell>
          <cell r="K463">
            <v>5321.8350000000009</v>
          </cell>
          <cell r="L463">
            <v>245.99791666666664</v>
          </cell>
          <cell r="N463">
            <v>1376.1957166666666</v>
          </cell>
          <cell r="O463">
            <v>1473.7716666666665</v>
          </cell>
          <cell r="P463">
            <v>97.575949999999978</v>
          </cell>
          <cell r="R463">
            <v>3532.6855166666669</v>
          </cell>
          <cell r="S463">
            <v>3649.0541666666668</v>
          </cell>
          <cell r="T463">
            <v>116.3686500000001</v>
          </cell>
          <cell r="V463">
            <v>24756.215158333333</v>
          </cell>
          <cell r="W463">
            <v>24933.520766666665</v>
          </cell>
          <cell r="X463">
            <v>177.30560833333294</v>
          </cell>
        </row>
        <row r="465">
          <cell r="A465" t="str">
            <v>Bay of Plenty DHB</v>
          </cell>
          <cell r="B465">
            <v>353.38833333333332</v>
          </cell>
          <cell r="C465">
            <v>354</v>
          </cell>
          <cell r="D465">
            <v>0.61166666666665981</v>
          </cell>
          <cell r="F465">
            <v>1223.8358333333333</v>
          </cell>
          <cell r="G465">
            <v>1143</v>
          </cell>
          <cell r="H465">
            <v>-80.835833333333312</v>
          </cell>
          <cell r="J465">
            <v>501.28083333333331</v>
          </cell>
          <cell r="K465">
            <v>513</v>
          </cell>
          <cell r="L465">
            <v>11.719166666666661</v>
          </cell>
          <cell r="N465">
            <v>119.48333333333335</v>
          </cell>
          <cell r="O465">
            <v>120</v>
          </cell>
          <cell r="P465">
            <v>0.51666666666666572</v>
          </cell>
          <cell r="R465">
            <v>520.05583333333334</v>
          </cell>
          <cell r="S465">
            <v>489</v>
          </cell>
          <cell r="T465">
            <v>-31.055833333333322</v>
          </cell>
          <cell r="V465">
            <v>2718.044166666667</v>
          </cell>
          <cell r="W465">
            <v>2619</v>
          </cell>
          <cell r="X465">
            <v>-99.044166666666726</v>
          </cell>
        </row>
        <row r="466">
          <cell r="A466" t="str">
            <v>Lakes DHB</v>
          </cell>
          <cell r="B466">
            <v>184.41666666666666</v>
          </cell>
          <cell r="C466">
            <v>195.41666666666666</v>
          </cell>
          <cell r="D466">
            <v>11</v>
          </cell>
          <cell r="F466">
            <v>554.25</v>
          </cell>
          <cell r="G466">
            <v>544.16666666666663</v>
          </cell>
          <cell r="H466">
            <v>-10.083333333333334</v>
          </cell>
          <cell r="J466">
            <v>204.41666666666666</v>
          </cell>
          <cell r="K466">
            <v>205.16666666666666</v>
          </cell>
          <cell r="L466">
            <v>0.75</v>
          </cell>
          <cell r="N466">
            <v>64.333333333333329</v>
          </cell>
          <cell r="O466">
            <v>62.166666666666664</v>
          </cell>
          <cell r="P466">
            <v>-2.1666666666666665</v>
          </cell>
          <cell r="R466">
            <v>261.25</v>
          </cell>
          <cell r="S466">
            <v>266.5</v>
          </cell>
          <cell r="T466">
            <v>5.25</v>
          </cell>
          <cell r="V466">
            <v>1268.6666666666667</v>
          </cell>
          <cell r="W466">
            <v>1273.4166666666667</v>
          </cell>
          <cell r="X466">
            <v>4.75</v>
          </cell>
        </row>
        <row r="467">
          <cell r="A467" t="str">
            <v>Tairawhiti DHB</v>
          </cell>
          <cell r="B467">
            <v>70.083333333333329</v>
          </cell>
          <cell r="C467">
            <v>76</v>
          </cell>
          <cell r="D467">
            <v>5.916666666666667</v>
          </cell>
          <cell r="F467">
            <v>298.33333333333331</v>
          </cell>
          <cell r="G467">
            <v>290</v>
          </cell>
          <cell r="H467">
            <v>-8.3333333333333339</v>
          </cell>
          <cell r="J467">
            <v>151.33333333333334</v>
          </cell>
          <cell r="K467">
            <v>155</v>
          </cell>
          <cell r="L467">
            <v>3.6666666666666665</v>
          </cell>
          <cell r="N467">
            <v>43.75</v>
          </cell>
          <cell r="O467">
            <v>17.099999999999998</v>
          </cell>
          <cell r="P467">
            <v>-26.649999999999995</v>
          </cell>
          <cell r="R467">
            <v>135.91666666666666</v>
          </cell>
          <cell r="S467">
            <v>138</v>
          </cell>
          <cell r="T467">
            <v>2.0833333333333335</v>
          </cell>
          <cell r="V467">
            <v>699.41666666666663</v>
          </cell>
          <cell r="W467">
            <v>676.10000000000014</v>
          </cell>
          <cell r="X467">
            <v>-23.316666666666645</v>
          </cell>
        </row>
        <row r="468">
          <cell r="A468" t="str">
            <v>Taranaki DHB</v>
          </cell>
          <cell r="B468">
            <v>179.21083333333334</v>
          </cell>
          <cell r="C468">
            <v>177.29999999999998</v>
          </cell>
          <cell r="D468">
            <v>-1.9108333333333338</v>
          </cell>
          <cell r="F468">
            <v>637.80999999999995</v>
          </cell>
          <cell r="G468">
            <v>630.29999999999995</v>
          </cell>
          <cell r="H468">
            <v>-7.5100000000000096</v>
          </cell>
          <cell r="J468">
            <v>267.36583333333334</v>
          </cell>
          <cell r="K468">
            <v>294.3</v>
          </cell>
          <cell r="L468">
            <v>26.934166666666673</v>
          </cell>
          <cell r="N468">
            <v>99.571666666666658</v>
          </cell>
          <cell r="O468">
            <v>97.998333333333335</v>
          </cell>
          <cell r="P468">
            <v>-1.573333333333333</v>
          </cell>
          <cell r="R468">
            <v>298.61499999999995</v>
          </cell>
          <cell r="S468">
            <v>299.9975</v>
          </cell>
          <cell r="T468">
            <v>1.3824999999999743</v>
          </cell>
          <cell r="V468">
            <v>1482.5733333333335</v>
          </cell>
          <cell r="W468">
            <v>1499.8958333333333</v>
          </cell>
          <cell r="X468">
            <v>17.322500000000087</v>
          </cell>
        </row>
        <row r="469">
          <cell r="A469" t="str">
            <v>Waikato DHB</v>
          </cell>
          <cell r="B469">
            <v>817.01083333333338</v>
          </cell>
          <cell r="C469">
            <v>812.9190277777775</v>
          </cell>
          <cell r="D469">
            <v>-4.0918055555558412</v>
          </cell>
          <cell r="F469">
            <v>2685.11</v>
          </cell>
          <cell r="G469">
            <v>2686.5885416666665</v>
          </cell>
          <cell r="H469">
            <v>1.4785416666668045</v>
          </cell>
          <cell r="J469">
            <v>1087.3383333333334</v>
          </cell>
          <cell r="K469">
            <v>1099.0966666666661</v>
          </cell>
          <cell r="L469">
            <v>11.758333333332777</v>
          </cell>
          <cell r="N469">
            <v>344.34</v>
          </cell>
          <cell r="O469">
            <v>359.32534722222221</v>
          </cell>
          <cell r="P469">
            <v>14.985347222222188</v>
          </cell>
          <cell r="R469">
            <v>1112.4766666666667</v>
          </cell>
          <cell r="S469">
            <v>1121.1594444444438</v>
          </cell>
          <cell r="T469">
            <v>8.6827777777770248</v>
          </cell>
          <cell r="V469">
            <v>6046.2758333333331</v>
          </cell>
          <cell r="W469">
            <v>6079.0890277777762</v>
          </cell>
          <cell r="X469">
            <v>32.813194444442694</v>
          </cell>
        </row>
        <row r="470">
          <cell r="A470" t="str">
            <v>Midland Region Total</v>
          </cell>
          <cell r="B470">
            <v>1604.1100000000001</v>
          </cell>
          <cell r="C470">
            <v>1615.6356944444442</v>
          </cell>
          <cell r="D470">
            <v>11.525694444444149</v>
          </cell>
          <cell r="F470">
            <v>5399.3391666666666</v>
          </cell>
          <cell r="G470">
            <v>5294.0552083333332</v>
          </cell>
          <cell r="H470">
            <v>-105.28395833333317</v>
          </cell>
          <cell r="J470">
            <v>2211.7350000000001</v>
          </cell>
          <cell r="K470">
            <v>2266.5633333333326</v>
          </cell>
          <cell r="L470">
            <v>54.828333333332779</v>
          </cell>
          <cell r="N470">
            <v>671.47833333333324</v>
          </cell>
          <cell r="O470">
            <v>656.59034722222214</v>
          </cell>
          <cell r="P470">
            <v>-14.887986111111143</v>
          </cell>
          <cell r="R470">
            <v>2328.3141666666666</v>
          </cell>
          <cell r="S470">
            <v>2314.656944444444</v>
          </cell>
          <cell r="T470">
            <v>-13.657222222222989</v>
          </cell>
          <cell r="V470">
            <v>12214.976666666667</v>
          </cell>
          <cell r="W470">
            <v>12147.501527777777</v>
          </cell>
          <cell r="X470">
            <v>-67.475138888890598</v>
          </cell>
        </row>
        <row r="472">
          <cell r="A472" t="str">
            <v>Capital &amp; Coast DHB</v>
          </cell>
          <cell r="B472">
            <v>909.24599166666655</v>
          </cell>
          <cell r="C472">
            <v>865.89499999999998</v>
          </cell>
          <cell r="D472">
            <v>-43.350991666666665</v>
          </cell>
          <cell r="F472">
            <v>2335.55485</v>
          </cell>
          <cell r="G472">
            <v>2288.3033333333333</v>
          </cell>
          <cell r="H472">
            <v>-47.251516666666667</v>
          </cell>
          <cell r="J472">
            <v>710.79721666666671</v>
          </cell>
          <cell r="K472">
            <v>719.25583333333327</v>
          </cell>
          <cell r="L472">
            <v>8.4586166666666518</v>
          </cell>
          <cell r="N472">
            <v>144.15164166666665</v>
          </cell>
          <cell r="O472">
            <v>146.07083333333335</v>
          </cell>
          <cell r="P472">
            <v>1.9191916666666675</v>
          </cell>
          <cell r="R472">
            <v>864.25280833333329</v>
          </cell>
          <cell r="S472">
            <v>864.04333333333341</v>
          </cell>
          <cell r="T472">
            <v>-0.2094750000000071</v>
          </cell>
          <cell r="V472">
            <v>4964.0025083333339</v>
          </cell>
          <cell r="W472">
            <v>4883.5683333333336</v>
          </cell>
          <cell r="X472">
            <v>-80.434175000000025</v>
          </cell>
        </row>
        <row r="473">
          <cell r="A473" t="str">
            <v>Hawke's Bay DHB</v>
          </cell>
          <cell r="B473">
            <v>347.11999999999995</v>
          </cell>
          <cell r="C473">
            <v>328.84166666666664</v>
          </cell>
          <cell r="D473">
            <v>-18.27833333333334</v>
          </cell>
          <cell r="F473">
            <v>975.39833333333343</v>
          </cell>
          <cell r="G473">
            <v>920.88333333333321</v>
          </cell>
          <cell r="H473">
            <v>-54.515000000000022</v>
          </cell>
          <cell r="J473">
            <v>458.02833333333336</v>
          </cell>
          <cell r="K473">
            <v>463.5</v>
          </cell>
          <cell r="L473">
            <v>5.471666666666664</v>
          </cell>
          <cell r="N473">
            <v>151.45166666666668</v>
          </cell>
          <cell r="O473">
            <v>140.87500000000003</v>
          </cell>
          <cell r="P473">
            <v>-10.576666666666666</v>
          </cell>
          <cell r="R473">
            <v>417.0408333333333</v>
          </cell>
          <cell r="S473">
            <v>423.15000000000003</v>
          </cell>
          <cell r="T473">
            <v>6.1091666666666571</v>
          </cell>
          <cell r="V473">
            <v>2349.0391666666665</v>
          </cell>
          <cell r="W473">
            <v>2277.2500000000005</v>
          </cell>
          <cell r="X473">
            <v>-71.789166666666688</v>
          </cell>
        </row>
        <row r="474">
          <cell r="A474" t="str">
            <v>Hutt Valley DHB</v>
          </cell>
          <cell r="B474">
            <v>257.26033884875</v>
          </cell>
          <cell r="C474">
            <v>246.36039166666657</v>
          </cell>
          <cell r="D474">
            <v>-10.899947182083432</v>
          </cell>
          <cell r="F474">
            <v>753.72269540641673</v>
          </cell>
          <cell r="G474">
            <v>736.81636666666634</v>
          </cell>
          <cell r="H474">
            <v>-16.906328739750354</v>
          </cell>
          <cell r="J474">
            <v>374.61849041624993</v>
          </cell>
          <cell r="K474">
            <v>399.85144166666623</v>
          </cell>
          <cell r="L474">
            <v>25.232951250416232</v>
          </cell>
          <cell r="N474">
            <v>131.24179575808333</v>
          </cell>
          <cell r="O474">
            <v>137.89460000000003</v>
          </cell>
          <cell r="P474">
            <v>6.6528042419166704</v>
          </cell>
          <cell r="R474">
            <v>355.59271727433332</v>
          </cell>
          <cell r="S474">
            <v>354.05761666666655</v>
          </cell>
          <cell r="T474">
            <v>-1.5351006076667961</v>
          </cell>
          <cell r="V474">
            <v>1872.4360377038331</v>
          </cell>
          <cell r="W474">
            <v>1874.9804166666656</v>
          </cell>
          <cell r="X474">
            <v>2.5443789628323543</v>
          </cell>
        </row>
        <row r="475">
          <cell r="A475" t="str">
            <v>MidCentral DHB</v>
          </cell>
          <cell r="B475">
            <v>330.08333333333331</v>
          </cell>
          <cell r="C475">
            <v>341.6991666666666</v>
          </cell>
          <cell r="D475">
            <v>11.615833333333333</v>
          </cell>
          <cell r="F475">
            <v>991.91666666666663</v>
          </cell>
          <cell r="G475">
            <v>976.40083333333348</v>
          </cell>
          <cell r="H475">
            <v>-15.515833333333338</v>
          </cell>
          <cell r="J475">
            <v>407.91666666666669</v>
          </cell>
          <cell r="K475">
            <v>426.87250000000012</v>
          </cell>
          <cell r="L475">
            <v>18.955833333333334</v>
          </cell>
          <cell r="N475">
            <v>45.083333333333336</v>
          </cell>
          <cell r="O475">
            <v>39.424166666666672</v>
          </cell>
          <cell r="P475">
            <v>-5.6591666666666667</v>
          </cell>
          <cell r="R475">
            <v>497.5</v>
          </cell>
          <cell r="S475">
            <v>512.70583333333343</v>
          </cell>
          <cell r="T475">
            <v>15.205833333333326</v>
          </cell>
          <cell r="V475">
            <v>2272.5</v>
          </cell>
          <cell r="W475">
            <v>2297.1025000000004</v>
          </cell>
          <cell r="X475">
            <v>24.602500000000038</v>
          </cell>
        </row>
        <row r="476">
          <cell r="A476" t="str">
            <v>Wairarapa DHB</v>
          </cell>
          <cell r="B476">
            <v>45.169583333333343</v>
          </cell>
          <cell r="C476">
            <v>47.985408333333318</v>
          </cell>
          <cell r="D476">
            <v>2.8158249999999891</v>
          </cell>
          <cell r="F476">
            <v>242.06508333333332</v>
          </cell>
          <cell r="G476">
            <v>230.93749999999989</v>
          </cell>
          <cell r="H476">
            <v>-11.127583333333405</v>
          </cell>
          <cell r="J476">
            <v>70.998666666666665</v>
          </cell>
          <cell r="K476">
            <v>71.504608333333337</v>
          </cell>
          <cell r="L476">
            <v>0.50594166666667328</v>
          </cell>
          <cell r="N476">
            <v>15.88541666666667</v>
          </cell>
          <cell r="O476">
            <v>15.655099999999999</v>
          </cell>
          <cell r="P476">
            <v>-0.23031666666666664</v>
          </cell>
          <cell r="R476">
            <v>106.17475</v>
          </cell>
          <cell r="S476">
            <v>101.76199999999996</v>
          </cell>
          <cell r="T476">
            <v>-4.4127500000000452</v>
          </cell>
          <cell r="V476">
            <v>480.29349999999994</v>
          </cell>
          <cell r="W476">
            <v>467.84461666666652</v>
          </cell>
          <cell r="X476">
            <v>-12.448883333333441</v>
          </cell>
        </row>
        <row r="477">
          <cell r="A477" t="str">
            <v>Whanganui DHB</v>
          </cell>
          <cell r="B477">
            <v>97.541474999999991</v>
          </cell>
          <cell r="C477">
            <v>101.23</v>
          </cell>
          <cell r="D477">
            <v>3.6885249999999901</v>
          </cell>
          <cell r="F477">
            <v>449.37618333333336</v>
          </cell>
          <cell r="G477">
            <v>424.17499999999967</v>
          </cell>
          <cell r="H477">
            <v>-25.201183333333706</v>
          </cell>
          <cell r="J477">
            <v>146.13148333333334</v>
          </cell>
          <cell r="K477">
            <v>148.02166666666673</v>
          </cell>
          <cell r="L477">
            <v>1.8901833333333944</v>
          </cell>
          <cell r="N477">
            <v>14.974441666666669</v>
          </cell>
          <cell r="O477">
            <v>14.820833333333335</v>
          </cell>
          <cell r="P477">
            <v>-0.15360833333333387</v>
          </cell>
          <cell r="R477">
            <v>185.19327499999997</v>
          </cell>
          <cell r="S477">
            <v>183.65083333333334</v>
          </cell>
          <cell r="T477">
            <v>-1.5424416666666521</v>
          </cell>
          <cell r="V477">
            <v>893.21685833333333</v>
          </cell>
          <cell r="W477">
            <v>871.8983333333332</v>
          </cell>
          <cell r="X477">
            <v>-21.31852500000026</v>
          </cell>
        </row>
        <row r="478">
          <cell r="A478" t="str">
            <v>Central Region Total</v>
          </cell>
          <cell r="B478">
            <v>1986.4207221820832</v>
          </cell>
          <cell r="C478">
            <v>1932.0116333333331</v>
          </cell>
          <cell r="D478">
            <v>-54.40908884875013</v>
          </cell>
          <cell r="F478">
            <v>5748.0338120730839</v>
          </cell>
          <cell r="G478">
            <v>5577.5163666666658</v>
          </cell>
          <cell r="H478">
            <v>-170.51744540641749</v>
          </cell>
          <cell r="J478">
            <v>2168.4908570829166</v>
          </cell>
          <cell r="K478">
            <v>2229.0060499999995</v>
          </cell>
          <cell r="L478">
            <v>60.515192917082956</v>
          </cell>
          <cell r="N478">
            <v>502.78829575808328</v>
          </cell>
          <cell r="O478">
            <v>494.74053333333342</v>
          </cell>
          <cell r="P478">
            <v>-8.0477624247499957</v>
          </cell>
          <cell r="R478">
            <v>2425.7543839410005</v>
          </cell>
          <cell r="S478">
            <v>2439.3696166666664</v>
          </cell>
          <cell r="T478">
            <v>13.615232725666482</v>
          </cell>
          <cell r="V478">
            <v>12831.488071037167</v>
          </cell>
          <cell r="W478">
            <v>12672.644200000001</v>
          </cell>
          <cell r="X478">
            <v>-158.84387103716801</v>
          </cell>
        </row>
        <row r="480">
          <cell r="A480" t="str">
            <v>Canterbury DHB</v>
          </cell>
          <cell r="B480">
            <v>1004.0675000000001</v>
          </cell>
          <cell r="C480">
            <v>991.34999999999991</v>
          </cell>
          <cell r="D480">
            <v>-12.717499999999992</v>
          </cell>
          <cell r="F480">
            <v>3781.0341666666668</v>
          </cell>
          <cell r="G480">
            <v>3717.2916666666674</v>
          </cell>
          <cell r="H480">
            <v>-63.742499999999986</v>
          </cell>
          <cell r="J480">
            <v>1539.135</v>
          </cell>
          <cell r="K480">
            <v>1542.8583333333333</v>
          </cell>
          <cell r="L480">
            <v>3.7233333333333198</v>
          </cell>
          <cell r="N480">
            <v>641.41666666666663</v>
          </cell>
          <cell r="O480">
            <v>615.20833333333337</v>
          </cell>
          <cell r="P480">
            <v>-26.208333333333343</v>
          </cell>
          <cell r="R480">
            <v>1277.4116666666666</v>
          </cell>
          <cell r="S480">
            <v>1301.0333333333333</v>
          </cell>
          <cell r="T480">
            <v>23.621666666666613</v>
          </cell>
          <cell r="V480">
            <v>8243.0650000000005</v>
          </cell>
          <cell r="W480">
            <v>8167.741666666665</v>
          </cell>
          <cell r="X480">
            <v>-75.323333333333565</v>
          </cell>
        </row>
        <row r="481">
          <cell r="A481" t="str">
            <v>Nelson Marlborough DHB</v>
          </cell>
          <cell r="B481">
            <v>212.06250000000003</v>
          </cell>
          <cell r="C481">
            <v>205</v>
          </cell>
          <cell r="D481">
            <v>-7.0624999999999973</v>
          </cell>
          <cell r="F481">
            <v>690.84666666666669</v>
          </cell>
          <cell r="G481">
            <v>669</v>
          </cell>
          <cell r="H481">
            <v>-21.846666666666682</v>
          </cell>
          <cell r="J481">
            <v>594.22916666666663</v>
          </cell>
          <cell r="K481">
            <v>596</v>
          </cell>
          <cell r="L481">
            <v>1.7708333333333333</v>
          </cell>
          <cell r="N481">
            <v>113.56333333333332</v>
          </cell>
          <cell r="O481">
            <v>104</v>
          </cell>
          <cell r="P481">
            <v>-9.5633333333333344</v>
          </cell>
          <cell r="R481">
            <v>355.54416666666663</v>
          </cell>
          <cell r="S481">
            <v>369</v>
          </cell>
          <cell r="T481">
            <v>13.455833333333326</v>
          </cell>
          <cell r="V481">
            <v>1966.2458333333336</v>
          </cell>
          <cell r="W481">
            <v>1943</v>
          </cell>
          <cell r="X481">
            <v>-23.245833333333394</v>
          </cell>
        </row>
        <row r="482">
          <cell r="A482" t="str">
            <v>South Canterbury DHB</v>
          </cell>
          <cell r="B482">
            <v>66.49499999999999</v>
          </cell>
          <cell r="C482">
            <v>72</v>
          </cell>
          <cell r="D482">
            <v>5.504999999999999</v>
          </cell>
          <cell r="F482">
            <v>320.71333333333337</v>
          </cell>
          <cell r="G482">
            <v>304</v>
          </cell>
          <cell r="H482">
            <v>-16.713333333333338</v>
          </cell>
          <cell r="J482">
            <v>87.103333333333339</v>
          </cell>
          <cell r="K482">
            <v>93</v>
          </cell>
          <cell r="L482">
            <v>5.8966666666666674</v>
          </cell>
          <cell r="N482">
            <v>46.995000000000005</v>
          </cell>
          <cell r="O482">
            <v>49</v>
          </cell>
          <cell r="P482">
            <v>2.0050000000000003</v>
          </cell>
          <cell r="R482">
            <v>116.55583333333333</v>
          </cell>
          <cell r="S482">
            <v>114</v>
          </cell>
          <cell r="T482">
            <v>-2.5558333333333323</v>
          </cell>
          <cell r="V482">
            <v>637.86249999999995</v>
          </cell>
          <cell r="W482">
            <v>632</v>
          </cell>
          <cell r="X482">
            <v>-5.8625000000000016</v>
          </cell>
        </row>
        <row r="483">
          <cell r="A483" t="str">
            <v>Southern DHB</v>
          </cell>
          <cell r="B483">
            <v>541.58749999999998</v>
          </cell>
          <cell r="C483">
            <v>573.28499999999997</v>
          </cell>
          <cell r="D483">
            <v>31.697500000000048</v>
          </cell>
          <cell r="F483">
            <v>1690.6716666666664</v>
          </cell>
          <cell r="G483">
            <v>1694.3074999999997</v>
          </cell>
          <cell r="H483">
            <v>3.6358333333331152</v>
          </cell>
          <cell r="J483">
            <v>660.61583333333328</v>
          </cell>
          <cell r="K483">
            <v>657.74166666666667</v>
          </cell>
          <cell r="L483">
            <v>-2.8741666666666297</v>
          </cell>
          <cell r="N483">
            <v>99.5625</v>
          </cell>
          <cell r="O483">
            <v>104.78999999999998</v>
          </cell>
          <cell r="P483">
            <v>5.2275000000000018</v>
          </cell>
          <cell r="R483">
            <v>677.10416666666663</v>
          </cell>
          <cell r="S483">
            <v>677.95833333333337</v>
          </cell>
          <cell r="T483">
            <v>0.85416666666681829</v>
          </cell>
          <cell r="V483">
            <v>3669.5416666666665</v>
          </cell>
          <cell r="W483">
            <v>3708.0825</v>
          </cell>
          <cell r="X483">
            <v>38.540833333333275</v>
          </cell>
        </row>
        <row r="484">
          <cell r="A484" t="str">
            <v>West Coast DHB</v>
          </cell>
          <cell r="B484">
            <v>40.70460527783333</v>
          </cell>
          <cell r="C484">
            <v>39.252527777777793</v>
          </cell>
          <cell r="D484">
            <v>-1.4520775000555475</v>
          </cell>
          <cell r="F484">
            <v>321.95410656250004</v>
          </cell>
          <cell r="G484">
            <v>325.26228472222266</v>
          </cell>
          <cell r="H484">
            <v>3.3081781597225919</v>
          </cell>
          <cell r="J484">
            <v>168.75461440975002</v>
          </cell>
          <cell r="K484">
            <v>178.077145</v>
          </cell>
          <cell r="L484">
            <v>9.322530590250059</v>
          </cell>
          <cell r="N484">
            <v>17.231626736083332</v>
          </cell>
          <cell r="O484">
            <v>18.063921875000002</v>
          </cell>
          <cell r="P484">
            <v>0.83229513891666473</v>
          </cell>
          <cell r="R484">
            <v>124.51358245833335</v>
          </cell>
          <cell r="S484">
            <v>125.57087727083332</v>
          </cell>
          <cell r="T484">
            <v>1.0572948125000181</v>
          </cell>
          <cell r="V484">
            <v>673.15853544449999</v>
          </cell>
          <cell r="W484">
            <v>686.22675664583392</v>
          </cell>
          <cell r="X484">
            <v>13.068221201333833</v>
          </cell>
        </row>
        <row r="485">
          <cell r="A485" t="str">
            <v>Southern Region Total</v>
          </cell>
          <cell r="B485">
            <v>1864.9171052778333</v>
          </cell>
          <cell r="C485">
            <v>1880.8875277777774</v>
          </cell>
          <cell r="D485">
            <v>15.970422499944508</v>
          </cell>
          <cell r="F485">
            <v>6805.2199398958328</v>
          </cell>
          <cell r="G485">
            <v>6709.8614513888906</v>
          </cell>
          <cell r="H485">
            <v>-95.358488506944312</v>
          </cell>
          <cell r="J485">
            <v>3049.8379477430835</v>
          </cell>
          <cell r="K485">
            <v>3067.6771450000006</v>
          </cell>
          <cell r="L485">
            <v>17.839197256916748</v>
          </cell>
          <cell r="N485">
            <v>918.76912673608319</v>
          </cell>
          <cell r="O485">
            <v>891.06225520833334</v>
          </cell>
          <cell r="P485">
            <v>-27.706871527750007</v>
          </cell>
          <cell r="R485">
            <v>2551.1294157916668</v>
          </cell>
          <cell r="S485">
            <v>2587.5625439375003</v>
          </cell>
          <cell r="T485">
            <v>36.433128145833443</v>
          </cell>
          <cell r="V485">
            <v>15189.8735354445</v>
          </cell>
          <cell r="W485">
            <v>15137.050923312499</v>
          </cell>
          <cell r="X485">
            <v>-52.822612131999854</v>
          </cell>
        </row>
        <row r="487">
          <cell r="A487" t="str">
            <v>Total</v>
          </cell>
          <cell r="B487">
            <v>9496.5201274599149</v>
          </cell>
          <cell r="C487">
            <v>9345.5972888888882</v>
          </cell>
          <cell r="D487">
            <v>-150.92283857102817</v>
          </cell>
          <cell r="F487">
            <v>28683.01746030225</v>
          </cell>
          <cell r="G487">
            <v>28153.230526388885</v>
          </cell>
          <cell r="H487">
            <v>-529.78693391336094</v>
          </cell>
          <cell r="J487">
            <v>12505.900888159333</v>
          </cell>
          <cell r="K487">
            <v>12885.08152833333</v>
          </cell>
          <cell r="L487">
            <v>379.18064017399774</v>
          </cell>
          <cell r="N487">
            <v>3469.2314724941666</v>
          </cell>
          <cell r="O487">
            <v>3516.1648024305546</v>
          </cell>
          <cell r="P487">
            <v>46.933329936388567</v>
          </cell>
          <cell r="R487">
            <v>10837.883483066</v>
          </cell>
          <cell r="S487">
            <v>10990.643271715277</v>
          </cell>
          <cell r="T487">
            <v>152.75978864927552</v>
          </cell>
          <cell r="V487">
            <v>64992.553431481669</v>
          </cell>
          <cell r="W487">
            <v>64890.71741775694</v>
          </cell>
          <cell r="X487">
            <v>-101.83601372472731</v>
          </cell>
        </row>
        <row r="504">
          <cell r="B504" t="str">
            <v>Actual</v>
          </cell>
          <cell r="C504" t="str">
            <v xml:space="preserve">Plan </v>
          </cell>
          <cell r="D504" t="str">
            <v>Variance</v>
          </cell>
          <cell r="F504" t="str">
            <v>Actual</v>
          </cell>
          <cell r="G504" t="str">
            <v xml:space="preserve">Plan </v>
          </cell>
          <cell r="H504" t="str">
            <v>Variance</v>
          </cell>
          <cell r="J504" t="str">
            <v>Actual</v>
          </cell>
          <cell r="K504" t="str">
            <v xml:space="preserve">Plan </v>
          </cell>
          <cell r="L504" t="str">
            <v>Variance</v>
          </cell>
          <cell r="N504" t="str">
            <v>Actual</v>
          </cell>
          <cell r="O504" t="str">
            <v xml:space="preserve">Plan </v>
          </cell>
          <cell r="P504" t="str">
            <v>Variance</v>
          </cell>
          <cell r="R504" t="str">
            <v>Actual</v>
          </cell>
          <cell r="S504" t="str">
            <v xml:space="preserve">Plan </v>
          </cell>
          <cell r="T504" t="str">
            <v>Variance</v>
          </cell>
          <cell r="V504" t="str">
            <v>Actual</v>
          </cell>
          <cell r="W504" t="str">
            <v xml:space="preserve">Plan </v>
          </cell>
          <cell r="X504" t="str">
            <v>Variance</v>
          </cell>
        </row>
        <row r="506">
          <cell r="A506" t="str">
            <v>Auckland DHB</v>
          </cell>
          <cell r="B506">
            <v>1812.1747777777778</v>
          </cell>
          <cell r="C506">
            <v>1824.9079999999999</v>
          </cell>
          <cell r="D506">
            <v>12.733222222222265</v>
          </cell>
          <cell r="F506">
            <v>3885.1711111111113</v>
          </cell>
          <cell r="G506">
            <v>3860.8722222222223</v>
          </cell>
          <cell r="H506">
            <v>-24.298888888888897</v>
          </cell>
          <cell r="J506">
            <v>1915.1766666666667</v>
          </cell>
          <cell r="K506">
            <v>1995.8433333333332</v>
          </cell>
          <cell r="L506">
            <v>80.666666666666671</v>
          </cell>
          <cell r="N506">
            <v>440.84333333333336</v>
          </cell>
          <cell r="O506">
            <v>461.27000000000004</v>
          </cell>
          <cell r="P506">
            <v>20.426666666666652</v>
          </cell>
          <cell r="R506">
            <v>1403.4666666666667</v>
          </cell>
          <cell r="S506">
            <v>1456.7433333333333</v>
          </cell>
          <cell r="T506">
            <v>53.276666666666721</v>
          </cell>
          <cell r="V506">
            <v>9456.8325555555566</v>
          </cell>
          <cell r="W506">
            <v>9599.6368888888883</v>
          </cell>
          <cell r="X506">
            <v>142.80433333333309</v>
          </cell>
        </row>
        <row r="507">
          <cell r="A507" t="str">
            <v>Counties Manukau DHB</v>
          </cell>
          <cell r="B507">
            <v>1024.8888888888889</v>
          </cell>
          <cell r="C507">
            <v>1122.3333333333333</v>
          </cell>
          <cell r="D507">
            <v>97.444444444444443</v>
          </cell>
          <cell r="F507">
            <v>3024.2222222222222</v>
          </cell>
          <cell r="G507">
            <v>2936.7777777777778</v>
          </cell>
          <cell r="H507">
            <v>-87.444444444444443</v>
          </cell>
          <cell r="J507">
            <v>1135.6666666666667</v>
          </cell>
          <cell r="K507">
            <v>1207.5555555555557</v>
          </cell>
          <cell r="L507">
            <v>71.888888888888886</v>
          </cell>
          <cell r="N507">
            <v>523.33333333333337</v>
          </cell>
          <cell r="O507">
            <v>551</v>
          </cell>
          <cell r="P507">
            <v>27.666666666666668</v>
          </cell>
          <cell r="R507">
            <v>914</v>
          </cell>
          <cell r="S507">
            <v>1012.3333333333334</v>
          </cell>
          <cell r="T507">
            <v>98.333333333333329</v>
          </cell>
          <cell r="V507">
            <v>6622.1111111111113</v>
          </cell>
          <cell r="W507">
            <v>6830</v>
          </cell>
          <cell r="X507">
            <v>207.88888888888889</v>
          </cell>
        </row>
        <row r="508">
          <cell r="A508" t="str">
            <v>Northland DHB</v>
          </cell>
          <cell r="B508">
            <v>316.19091111111106</v>
          </cell>
          <cell r="C508">
            <v>353.25588880045387</v>
          </cell>
          <cell r="D508">
            <v>37.06497768934269</v>
          </cell>
          <cell r="F508">
            <v>1158.6999555555556</v>
          </cell>
          <cell r="G508">
            <v>1165.0521144388899</v>
          </cell>
          <cell r="H508">
            <v>6.3521588833343436</v>
          </cell>
          <cell r="J508">
            <v>528.21698888888886</v>
          </cell>
          <cell r="K508">
            <v>572.40197767362827</v>
          </cell>
          <cell r="L508">
            <v>44.184988784739375</v>
          </cell>
          <cell r="N508">
            <v>99.711011111111091</v>
          </cell>
          <cell r="O508">
            <v>101.00511019280847</v>
          </cell>
          <cell r="P508">
            <v>1.2940990816973619</v>
          </cell>
          <cell r="R508">
            <v>423.31445555555564</v>
          </cell>
          <cell r="S508">
            <v>432.54123013259164</v>
          </cell>
          <cell r="T508">
            <v>9.226774577036041</v>
          </cell>
          <cell r="V508">
            <v>2526.133322222222</v>
          </cell>
          <cell r="W508">
            <v>2624.256321238372</v>
          </cell>
          <cell r="X508">
            <v>98.122999016150004</v>
          </cell>
        </row>
        <row r="509">
          <cell r="A509" t="str">
            <v>Waitemata DHB</v>
          </cell>
          <cell r="B509">
            <v>943.85555555555561</v>
          </cell>
          <cell r="C509">
            <v>975.50777777777773</v>
          </cell>
          <cell r="D509">
            <v>31.65222222222225</v>
          </cell>
          <cell r="F509">
            <v>2925.7311111111112</v>
          </cell>
          <cell r="G509">
            <v>2945.2111111111108</v>
          </cell>
          <cell r="H509">
            <v>19.479999999999865</v>
          </cell>
          <cell r="J509">
            <v>1521.5455555555554</v>
          </cell>
          <cell r="K509">
            <v>1639.1833333333332</v>
          </cell>
          <cell r="L509">
            <v>117.6377777777778</v>
          </cell>
          <cell r="N509">
            <v>378.81333333333333</v>
          </cell>
          <cell r="O509">
            <v>415.0333333333333</v>
          </cell>
          <cell r="P509">
            <v>36.220000000000013</v>
          </cell>
          <cell r="R509">
            <v>940.23444444444431</v>
          </cell>
          <cell r="S509">
            <v>976.79111111111115</v>
          </cell>
          <cell r="T509">
            <v>36.556666666666679</v>
          </cell>
          <cell r="V509">
            <v>6710.1800000000012</v>
          </cell>
          <cell r="W509">
            <v>6951.7266666666674</v>
          </cell>
          <cell r="X509">
            <v>241.54666666666688</v>
          </cell>
        </row>
        <row r="510">
          <cell r="A510" t="str">
            <v>Northern Region Total</v>
          </cell>
          <cell r="B510">
            <v>4097.1101333333336</v>
          </cell>
          <cell r="C510">
            <v>4276.0049999115645</v>
          </cell>
          <cell r="D510">
            <v>178.89486657823164</v>
          </cell>
          <cell r="F510">
            <v>10993.824400000001</v>
          </cell>
          <cell r="G510">
            <v>10907.913225550001</v>
          </cell>
          <cell r="H510">
            <v>-85.911174449999137</v>
          </cell>
          <cell r="J510">
            <v>5100.605877777778</v>
          </cell>
          <cell r="K510">
            <v>5414.98419989585</v>
          </cell>
          <cell r="L510">
            <v>314.37832211807273</v>
          </cell>
          <cell r="N510">
            <v>1442.701011111111</v>
          </cell>
          <cell r="O510">
            <v>1528.3084435261417</v>
          </cell>
          <cell r="P510">
            <v>85.607432415030701</v>
          </cell>
          <cell r="R510">
            <v>3681.0155666666665</v>
          </cell>
          <cell r="S510">
            <v>3878.4090079103694</v>
          </cell>
          <cell r="T510">
            <v>197.39344124370277</v>
          </cell>
          <cell r="V510">
            <v>25315.25698888889</v>
          </cell>
          <cell r="W510">
            <v>26005.619876793928</v>
          </cell>
          <cell r="X510">
            <v>690.36288790503886</v>
          </cell>
        </row>
        <row r="512">
          <cell r="A512" t="str">
            <v>Bay of Plenty DHB</v>
          </cell>
          <cell r="B512">
            <v>359.88222222222225</v>
          </cell>
          <cell r="C512">
            <v>371</v>
          </cell>
          <cell r="D512">
            <v>11.117777777777778</v>
          </cell>
          <cell r="F512">
            <v>1241.1200000000001</v>
          </cell>
          <cell r="G512">
            <v>1179</v>
          </cell>
          <cell r="H512">
            <v>-62.119999999999969</v>
          </cell>
          <cell r="J512">
            <v>512.75666666666666</v>
          </cell>
          <cell r="K512">
            <v>529</v>
          </cell>
          <cell r="L512">
            <v>16.243333333333339</v>
          </cell>
          <cell r="N512">
            <v>118.5211111111111</v>
          </cell>
          <cell r="O512">
            <v>122</v>
          </cell>
          <cell r="P512">
            <v>3.4788888888888909</v>
          </cell>
          <cell r="R512">
            <v>530.6055555555555</v>
          </cell>
          <cell r="S512">
            <v>512</v>
          </cell>
          <cell r="T512">
            <v>-18.605555555555561</v>
          </cell>
          <cell r="V512">
            <v>2762.8855555555556</v>
          </cell>
          <cell r="W512">
            <v>2713</v>
          </cell>
          <cell r="X512">
            <v>-49.885555555555435</v>
          </cell>
        </row>
        <row r="513">
          <cell r="A513" t="str">
            <v>Lakes DHB</v>
          </cell>
          <cell r="B513">
            <v>193.66666666666666</v>
          </cell>
          <cell r="C513">
            <v>199.55555555555554</v>
          </cell>
          <cell r="D513">
            <v>5.8888888888888893</v>
          </cell>
          <cell r="F513">
            <v>573.66666666666663</v>
          </cell>
          <cell r="G513">
            <v>570.66666666666663</v>
          </cell>
          <cell r="H513">
            <v>-3</v>
          </cell>
          <cell r="J513">
            <v>209</v>
          </cell>
          <cell r="K513">
            <v>217</v>
          </cell>
          <cell r="L513">
            <v>8</v>
          </cell>
          <cell r="N513">
            <v>61.555555555555557</v>
          </cell>
          <cell r="O513">
            <v>63.222222222222221</v>
          </cell>
          <cell r="P513">
            <v>1.6666666666666667</v>
          </cell>
          <cell r="R513">
            <v>272.88888888888891</v>
          </cell>
          <cell r="S513">
            <v>271.22222222222223</v>
          </cell>
          <cell r="T513">
            <v>-1.6666666666666667</v>
          </cell>
          <cell r="V513">
            <v>1310.7777777777778</v>
          </cell>
          <cell r="W513">
            <v>1321.6666666666667</v>
          </cell>
          <cell r="X513">
            <v>10.888888888888889</v>
          </cell>
        </row>
        <row r="514">
          <cell r="A514" t="str">
            <v>Tairawhiti DHB</v>
          </cell>
          <cell r="B514">
            <v>74.777777777777771</v>
          </cell>
          <cell r="C514">
            <v>86</v>
          </cell>
          <cell r="D514">
            <v>11.222222222222221</v>
          </cell>
          <cell r="F514">
            <v>317.77777777777777</v>
          </cell>
          <cell r="G514">
            <v>305</v>
          </cell>
          <cell r="H514">
            <v>-12.777777777777779</v>
          </cell>
          <cell r="J514">
            <v>156.55555555555554</v>
          </cell>
          <cell r="K514">
            <v>156</v>
          </cell>
          <cell r="L514">
            <v>-0.55555555555555558</v>
          </cell>
          <cell r="N514">
            <v>52</v>
          </cell>
          <cell r="O514">
            <v>47.600000000000009</v>
          </cell>
          <cell r="P514">
            <v>-4.3999999999999986</v>
          </cell>
          <cell r="R514">
            <v>144.44444444444446</v>
          </cell>
          <cell r="S514">
            <v>144.85</v>
          </cell>
          <cell r="T514">
            <v>0.4055555555555499</v>
          </cell>
          <cell r="V514">
            <v>745.55555555555554</v>
          </cell>
          <cell r="W514">
            <v>739.44999999999993</v>
          </cell>
          <cell r="X514">
            <v>-6.1055555555555099</v>
          </cell>
        </row>
        <row r="515">
          <cell r="A515" t="str">
            <v>Taranaki DHB</v>
          </cell>
          <cell r="B515">
            <v>202.0622222222222</v>
          </cell>
          <cell r="C515">
            <v>191</v>
          </cell>
          <cell r="D515">
            <v>-11.06222222222222</v>
          </cell>
          <cell r="F515">
            <v>659.75666666666666</v>
          </cell>
          <cell r="G515">
            <v>653.30000000000007</v>
          </cell>
          <cell r="H515">
            <v>-6.4566666666667061</v>
          </cell>
          <cell r="J515">
            <v>265.03777777777782</v>
          </cell>
          <cell r="K515">
            <v>276</v>
          </cell>
          <cell r="L515">
            <v>10.962222222222222</v>
          </cell>
          <cell r="N515">
            <v>103.91555555555556</v>
          </cell>
          <cell r="O515">
            <v>101</v>
          </cell>
          <cell r="P515">
            <v>-2.9155555555555548</v>
          </cell>
          <cell r="R515">
            <v>304.18111111111114</v>
          </cell>
          <cell r="S515">
            <v>311.3</v>
          </cell>
          <cell r="T515">
            <v>7.1188888888889075</v>
          </cell>
          <cell r="V515">
            <v>1534.9533333333334</v>
          </cell>
          <cell r="W515">
            <v>1532.6000000000001</v>
          </cell>
          <cell r="X515">
            <v>-2.3533333333334414</v>
          </cell>
        </row>
        <row r="516">
          <cell r="A516" t="str">
            <v>Waikato DHB</v>
          </cell>
          <cell r="B516">
            <v>860.47222222222217</v>
          </cell>
          <cell r="C516">
            <v>863.66666666666481</v>
          </cell>
          <cell r="D516">
            <v>3.1944444444426003</v>
          </cell>
          <cell r="F516">
            <v>3029.6166666666668</v>
          </cell>
          <cell r="G516">
            <v>2955.2677777777917</v>
          </cell>
          <cell r="H516">
            <v>-74.348888888874882</v>
          </cell>
          <cell r="J516">
            <v>1171.0655555555556</v>
          </cell>
          <cell r="K516">
            <v>1184.4977777777713</v>
          </cell>
          <cell r="L516">
            <v>13.432222222215691</v>
          </cell>
          <cell r="N516">
            <v>351.62777777777774</v>
          </cell>
          <cell r="O516">
            <v>364.8044444444443</v>
          </cell>
          <cell r="P516">
            <v>13.176666666666494</v>
          </cell>
          <cell r="R516">
            <v>1118.2811111111112</v>
          </cell>
          <cell r="S516">
            <v>1202.6755555555494</v>
          </cell>
          <cell r="T516">
            <v>84.394444444438321</v>
          </cell>
          <cell r="V516">
            <v>6531.0633333333335</v>
          </cell>
          <cell r="W516">
            <v>6570.9122222222213</v>
          </cell>
          <cell r="X516">
            <v>39.848888888888624</v>
          </cell>
        </row>
        <row r="517">
          <cell r="A517" t="str">
            <v>Midland Region Total</v>
          </cell>
          <cell r="B517">
            <v>1690.8611111111109</v>
          </cell>
          <cell r="C517">
            <v>1711.2222222222204</v>
          </cell>
          <cell r="D517">
            <v>20.36111111110927</v>
          </cell>
          <cell r="F517">
            <v>5821.9377777777781</v>
          </cell>
          <cell r="G517">
            <v>5663.2344444444589</v>
          </cell>
          <cell r="H517">
            <v>-158.70333333331934</v>
          </cell>
          <cell r="J517">
            <v>2314.4155555555553</v>
          </cell>
          <cell r="K517">
            <v>2362.4977777777713</v>
          </cell>
          <cell r="L517">
            <v>48.082222222215698</v>
          </cell>
          <cell r="N517">
            <v>687.61999999999989</v>
          </cell>
          <cell r="O517">
            <v>698.62666666666655</v>
          </cell>
          <cell r="P517">
            <v>11.006666666666497</v>
          </cell>
          <cell r="R517">
            <v>2370.4011111111113</v>
          </cell>
          <cell r="S517">
            <v>2442.0477777777714</v>
          </cell>
          <cell r="T517">
            <v>71.646666666660551</v>
          </cell>
          <cell r="V517">
            <v>12885.235555555555</v>
          </cell>
          <cell r="W517">
            <v>12877.628888888888</v>
          </cell>
          <cell r="X517">
            <v>-7.6066666666668681</v>
          </cell>
        </row>
        <row r="519">
          <cell r="A519" t="str">
            <v>Capital &amp; Coast DHB</v>
          </cell>
          <cell r="B519">
            <v>964.76525555555554</v>
          </cell>
          <cell r="C519">
            <v>957.08111111111111</v>
          </cell>
          <cell r="D519">
            <v>-7.684144444444466</v>
          </cell>
          <cell r="F519">
            <v>2405.5911111111109</v>
          </cell>
          <cell r="G519">
            <v>2402.7188888888891</v>
          </cell>
          <cell r="H519">
            <v>-2.8722222222221112</v>
          </cell>
          <cell r="J519">
            <v>730.55227777777782</v>
          </cell>
          <cell r="K519">
            <v>741.56333333333328</v>
          </cell>
          <cell r="L519">
            <v>11.01105555555556</v>
          </cell>
          <cell r="N519">
            <v>144.58326666666667</v>
          </cell>
          <cell r="O519">
            <v>145.8688888888889</v>
          </cell>
          <cell r="P519">
            <v>1.2856222222222238</v>
          </cell>
          <cell r="R519">
            <v>889.57460000000003</v>
          </cell>
          <cell r="S519">
            <v>918.81444444444446</v>
          </cell>
          <cell r="T519">
            <v>29.239844444444469</v>
          </cell>
          <cell r="V519">
            <v>5135.0665111111111</v>
          </cell>
          <cell r="W519">
            <v>5166.0466666666671</v>
          </cell>
          <cell r="X519">
            <v>30.980155555555736</v>
          </cell>
        </row>
        <row r="520">
          <cell r="A520" t="str">
            <v>Hawke's Bay DHB</v>
          </cell>
          <cell r="B520">
            <v>343.38222222222225</v>
          </cell>
          <cell r="C520">
            <v>365.5888888888889</v>
          </cell>
          <cell r="D520">
            <v>22.206666666666663</v>
          </cell>
          <cell r="F520">
            <v>1021.9877777777778</v>
          </cell>
          <cell r="G520">
            <v>964.93333333333328</v>
          </cell>
          <cell r="H520">
            <v>-57.054444444444485</v>
          </cell>
          <cell r="J520">
            <v>465.48555555555555</v>
          </cell>
          <cell r="K520">
            <v>496.40000000000003</v>
          </cell>
          <cell r="L520">
            <v>30.914444444444435</v>
          </cell>
          <cell r="N520">
            <v>153.77777777777777</v>
          </cell>
          <cell r="O520">
            <v>146.32222222222222</v>
          </cell>
          <cell r="P520">
            <v>-7.4555555555555548</v>
          </cell>
          <cell r="R520">
            <v>430.56888888888886</v>
          </cell>
          <cell r="S520">
            <v>431.64444444444445</v>
          </cell>
          <cell r="T520">
            <v>1.0755555555555689</v>
          </cell>
          <cell r="V520">
            <v>2415.2022222222226</v>
          </cell>
          <cell r="W520">
            <v>2404.8888888888887</v>
          </cell>
          <cell r="X520">
            <v>-10.313333333333352</v>
          </cell>
        </row>
        <row r="521">
          <cell r="A521" t="str">
            <v>Hutt Valley DHB</v>
          </cell>
          <cell r="B521">
            <v>273.30563184100004</v>
          </cell>
          <cell r="C521">
            <v>268.48111111111098</v>
          </cell>
          <cell r="D521">
            <v>-4.8245207298889898</v>
          </cell>
          <cell r="F521">
            <v>772.57560157299997</v>
          </cell>
          <cell r="G521">
            <v>757.51295555555612</v>
          </cell>
          <cell r="H521">
            <v>-15.06264601744393</v>
          </cell>
          <cell r="J521">
            <v>380.04975049177779</v>
          </cell>
          <cell r="K521">
            <v>391.82654444444427</v>
          </cell>
          <cell r="L521">
            <v>11.776793952666505</v>
          </cell>
          <cell r="N521">
            <v>134.18357769144444</v>
          </cell>
          <cell r="O521">
            <v>135.80619999999996</v>
          </cell>
          <cell r="P521">
            <v>1.6226223085555236</v>
          </cell>
          <cell r="R521">
            <v>362.02122248966674</v>
          </cell>
          <cell r="S521">
            <v>367.98259999999976</v>
          </cell>
          <cell r="T521">
            <v>5.9613775103330857</v>
          </cell>
          <cell r="V521">
            <v>1922.1357840868889</v>
          </cell>
          <cell r="W521">
            <v>1921.6094111111113</v>
          </cell>
          <cell r="X521">
            <v>-0.52637297577775322</v>
          </cell>
        </row>
        <row r="522">
          <cell r="A522" t="str">
            <v>MidCentral DHB</v>
          </cell>
          <cell r="B522">
            <v>335.77777777777777</v>
          </cell>
          <cell r="C522">
            <v>356.2144444444445</v>
          </cell>
          <cell r="D522">
            <v>20.436666666666667</v>
          </cell>
          <cell r="F522">
            <v>1009.6666666666666</v>
          </cell>
          <cell r="G522">
            <v>989.54333333333329</v>
          </cell>
          <cell r="H522">
            <v>-20.123333333333335</v>
          </cell>
          <cell r="J522">
            <v>407.55555555555554</v>
          </cell>
          <cell r="K522">
            <v>438.80888888888887</v>
          </cell>
          <cell r="L522">
            <v>31.25333333333333</v>
          </cell>
          <cell r="N522">
            <v>45.222222222222221</v>
          </cell>
          <cell r="O522">
            <v>47.345555555555549</v>
          </cell>
          <cell r="P522">
            <v>2.1233333333333331</v>
          </cell>
          <cell r="R522">
            <v>520.77777777777783</v>
          </cell>
          <cell r="S522">
            <v>508.40111111111105</v>
          </cell>
          <cell r="T522">
            <v>-12.376666666666672</v>
          </cell>
          <cell r="V522">
            <v>2319</v>
          </cell>
          <cell r="W522">
            <v>2340.313333333333</v>
          </cell>
          <cell r="X522">
            <v>21.31333333333335</v>
          </cell>
        </row>
        <row r="523">
          <cell r="A523" t="str">
            <v>Wairarapa DHB</v>
          </cell>
          <cell r="B523">
            <v>45.092333333333329</v>
          </cell>
          <cell r="C523">
            <v>48.795788888888886</v>
          </cell>
          <cell r="D523">
            <v>3.7034555555555531</v>
          </cell>
          <cell r="F523">
            <v>252.62722222222223</v>
          </cell>
          <cell r="G523">
            <v>240.42852222222226</v>
          </cell>
          <cell r="H523">
            <v>-12.198699999999961</v>
          </cell>
          <cell r="J523">
            <v>72.218555555555554</v>
          </cell>
          <cell r="K523">
            <v>75.217144444444457</v>
          </cell>
          <cell r="L523">
            <v>2.9985888888888956</v>
          </cell>
          <cell r="N523">
            <v>15.509222222222222</v>
          </cell>
          <cell r="O523">
            <v>15.918577777777775</v>
          </cell>
          <cell r="P523">
            <v>0.40935555555555403</v>
          </cell>
          <cell r="R523">
            <v>111.04733333333334</v>
          </cell>
          <cell r="S523">
            <v>111.82078888888883</v>
          </cell>
          <cell r="T523">
            <v>0.77345555555550682</v>
          </cell>
          <cell r="V523">
            <v>496.49466666666672</v>
          </cell>
          <cell r="W523">
            <v>492.18082222222216</v>
          </cell>
          <cell r="X523">
            <v>-4.3138444444444861</v>
          </cell>
        </row>
        <row r="524">
          <cell r="A524" t="str">
            <v>Whanganui DHB</v>
          </cell>
          <cell r="B524">
            <v>103.23645555555555</v>
          </cell>
          <cell r="C524">
            <v>111.55777777777776</v>
          </cell>
          <cell r="D524">
            <v>8.3213222222222072</v>
          </cell>
          <cell r="F524">
            <v>459.92291111111109</v>
          </cell>
          <cell r="G524">
            <v>454.30777777777649</v>
          </cell>
          <cell r="H524">
            <v>-5.6151333333346605</v>
          </cell>
          <cell r="J524">
            <v>149.64418888888889</v>
          </cell>
          <cell r="K524">
            <v>161.78444444444452</v>
          </cell>
          <cell r="L524">
            <v>12.14025555555563</v>
          </cell>
          <cell r="N524">
            <v>15.09691111111111</v>
          </cell>
          <cell r="O524">
            <v>15.965555555555548</v>
          </cell>
          <cell r="P524">
            <v>0.86864444444443967</v>
          </cell>
          <cell r="R524">
            <v>188.11488888888891</v>
          </cell>
          <cell r="S524">
            <v>188.90666666666667</v>
          </cell>
          <cell r="T524">
            <v>0.79177777777780045</v>
          </cell>
          <cell r="V524">
            <v>916.01535555555552</v>
          </cell>
          <cell r="W524">
            <v>932.52222222222088</v>
          </cell>
          <cell r="X524">
            <v>16.506866666665474</v>
          </cell>
        </row>
        <row r="525">
          <cell r="A525" t="str">
            <v>Central Region Total</v>
          </cell>
          <cell r="B525">
            <v>2065.5596762854448</v>
          </cell>
          <cell r="C525">
            <v>2107.7191222222223</v>
          </cell>
          <cell r="D525">
            <v>42.15944593677763</v>
          </cell>
          <cell r="F525">
            <v>5922.3712904618887</v>
          </cell>
          <cell r="G525">
            <v>5809.4448111111105</v>
          </cell>
          <cell r="H525">
            <v>-112.92647935077848</v>
          </cell>
          <cell r="J525">
            <v>2205.5058838251111</v>
          </cell>
          <cell r="K525">
            <v>2305.6003555555553</v>
          </cell>
          <cell r="L525">
            <v>100.09447173044434</v>
          </cell>
          <cell r="N525">
            <v>508.37297769144448</v>
          </cell>
          <cell r="O525">
            <v>507.22700000000003</v>
          </cell>
          <cell r="P525">
            <v>-1.1459776914444801</v>
          </cell>
          <cell r="R525">
            <v>2502.1047113785557</v>
          </cell>
          <cell r="S525">
            <v>2527.5700555555554</v>
          </cell>
          <cell r="T525">
            <v>25.465344176999754</v>
          </cell>
          <cell r="V525">
            <v>13203.914539642446</v>
          </cell>
          <cell r="W525">
            <v>13257.561344444443</v>
          </cell>
          <cell r="X525">
            <v>53.646804801998968</v>
          </cell>
        </row>
        <row r="527">
          <cell r="A527" t="str">
            <v>Canterbury DHB</v>
          </cell>
          <cell r="B527">
            <v>1049.1111111111111</v>
          </cell>
          <cell r="C527">
            <v>1017.5999999999999</v>
          </cell>
          <cell r="D527">
            <v>-31.511111111111102</v>
          </cell>
          <cell r="F527">
            <v>3924.6666666666665</v>
          </cell>
          <cell r="G527">
            <v>3847.8555555555554</v>
          </cell>
          <cell r="H527">
            <v>-76.811111111111188</v>
          </cell>
          <cell r="J527">
            <v>1552</v>
          </cell>
          <cell r="K527">
            <v>1549.9666666666667</v>
          </cell>
          <cell r="L527">
            <v>-2.0333333333333283</v>
          </cell>
          <cell r="N527">
            <v>662.11111111111109</v>
          </cell>
          <cell r="O527">
            <v>649.90000000000009</v>
          </cell>
          <cell r="P527">
            <v>-12.211111111111096</v>
          </cell>
          <cell r="R527">
            <v>1339</v>
          </cell>
          <cell r="S527">
            <v>1287.0999999999999</v>
          </cell>
          <cell r="T527">
            <v>-51.899999999999963</v>
          </cell>
          <cell r="V527">
            <v>8526.8888888888887</v>
          </cell>
          <cell r="W527">
            <v>8352.4222222222234</v>
          </cell>
          <cell r="X527">
            <v>-174.46666666666664</v>
          </cell>
        </row>
        <row r="528">
          <cell r="A528" t="str">
            <v>Nelson Marlborough DHB</v>
          </cell>
          <cell r="B528">
            <v>212.11888888888888</v>
          </cell>
          <cell r="C528">
            <v>223.52</v>
          </cell>
          <cell r="D528">
            <v>11.401111111111119</v>
          </cell>
          <cell r="F528">
            <v>695.93666666666661</v>
          </cell>
          <cell r="G528">
            <v>681.56</v>
          </cell>
          <cell r="H528">
            <v>-14.376666666666715</v>
          </cell>
          <cell r="J528">
            <v>596.74777777777774</v>
          </cell>
          <cell r="K528">
            <v>624</v>
          </cell>
          <cell r="L528">
            <v>27.252222222222233</v>
          </cell>
          <cell r="N528">
            <v>123.10666666666667</v>
          </cell>
          <cell r="O528">
            <v>124.42</v>
          </cell>
          <cell r="P528">
            <v>1.3133333333333341</v>
          </cell>
          <cell r="R528">
            <v>375.70888888888885</v>
          </cell>
          <cell r="S528">
            <v>380.71</v>
          </cell>
          <cell r="T528">
            <v>5.0011111111110846</v>
          </cell>
          <cell r="V528">
            <v>2003.6188888888889</v>
          </cell>
          <cell r="W528">
            <v>2034.2099999999996</v>
          </cell>
          <cell r="X528">
            <v>30.591111111111204</v>
          </cell>
        </row>
        <row r="529">
          <cell r="A529" t="str">
            <v>South Canterbury DHB</v>
          </cell>
          <cell r="B529">
            <v>74.47</v>
          </cell>
          <cell r="C529">
            <v>76</v>
          </cell>
          <cell r="D529">
            <v>1.5299999999999996</v>
          </cell>
          <cell r="F529">
            <v>315.34000000000003</v>
          </cell>
          <cell r="G529">
            <v>320</v>
          </cell>
          <cell r="H529">
            <v>4.66</v>
          </cell>
          <cell r="J529">
            <v>86.11444444444443</v>
          </cell>
          <cell r="K529">
            <v>95.799999999999983</v>
          </cell>
          <cell r="L529">
            <v>9.6855555555555526</v>
          </cell>
          <cell r="N529">
            <v>43.712222222222223</v>
          </cell>
          <cell r="O529">
            <v>49.93</v>
          </cell>
          <cell r="P529">
            <v>6.2177777777777763</v>
          </cell>
          <cell r="R529">
            <v>111.78666666666666</v>
          </cell>
          <cell r="S529">
            <v>117</v>
          </cell>
          <cell r="T529">
            <v>5.213333333333332</v>
          </cell>
          <cell r="V529">
            <v>631.42333333333352</v>
          </cell>
          <cell r="W529">
            <v>658.73</v>
          </cell>
          <cell r="X529">
            <v>27.306666666666629</v>
          </cell>
        </row>
        <row r="530">
          <cell r="A530" t="str">
            <v>Southern DHB</v>
          </cell>
          <cell r="B530">
            <v>572.87333333333345</v>
          </cell>
          <cell r="C530">
            <v>570.06666666666672</v>
          </cell>
          <cell r="D530">
            <v>-2.8066666666667035</v>
          </cell>
          <cell r="F530">
            <v>1739.936666666667</v>
          </cell>
          <cell r="G530">
            <v>1704.4588888888889</v>
          </cell>
          <cell r="H530">
            <v>-35.477777777777497</v>
          </cell>
          <cell r="J530">
            <v>672.08777777777777</v>
          </cell>
          <cell r="K530">
            <v>678.07333333333327</v>
          </cell>
          <cell r="L530">
            <v>5.9855555555555311</v>
          </cell>
          <cell r="N530">
            <v>94.476666666666645</v>
          </cell>
          <cell r="O530">
            <v>102.27777777777779</v>
          </cell>
          <cell r="P530">
            <v>7.8011111111111182</v>
          </cell>
          <cell r="R530">
            <v>697.04000000000008</v>
          </cell>
          <cell r="S530">
            <v>696.47111111111121</v>
          </cell>
          <cell r="T530">
            <v>-0.56888888888882627</v>
          </cell>
          <cell r="V530">
            <v>3776.4144444444441</v>
          </cell>
          <cell r="W530">
            <v>3751.3477777777775</v>
          </cell>
          <cell r="X530">
            <v>-25.066666666666201</v>
          </cell>
        </row>
        <row r="531">
          <cell r="A531" t="str">
            <v>West Coast DHB</v>
          </cell>
          <cell r="B531">
            <v>38.807077777777778</v>
          </cell>
          <cell r="C531">
            <v>41.879209401709403</v>
          </cell>
          <cell r="D531">
            <v>3.0721316239316243</v>
          </cell>
          <cell r="F531">
            <v>310.243875</v>
          </cell>
          <cell r="G531">
            <v>318.0845021112321</v>
          </cell>
          <cell r="H531">
            <v>7.8406271112321013</v>
          </cell>
          <cell r="J531">
            <v>169.41609444444444</v>
          </cell>
          <cell r="K531">
            <v>167.44201992193672</v>
          </cell>
          <cell r="L531">
            <v>-1.9740745225077521</v>
          </cell>
          <cell r="N531">
            <v>17.367708333333333</v>
          </cell>
          <cell r="O531">
            <v>18.321304996271444</v>
          </cell>
          <cell r="P531">
            <v>0.95359666293810952</v>
          </cell>
          <cell r="R531">
            <v>122.84403055555555</v>
          </cell>
          <cell r="S531">
            <v>123.75083801582456</v>
          </cell>
          <cell r="T531">
            <v>0.9068074602690217</v>
          </cell>
          <cell r="V531">
            <v>658.67878611111109</v>
          </cell>
          <cell r="W531">
            <v>669.47787444697428</v>
          </cell>
          <cell r="X531">
            <v>10.799088335863113</v>
          </cell>
        </row>
        <row r="532">
          <cell r="A532" t="str">
            <v>Southern Region Total</v>
          </cell>
          <cell r="B532">
            <v>1947.3804111111112</v>
          </cell>
          <cell r="C532">
            <v>1929.0658760683759</v>
          </cell>
          <cell r="D532">
            <v>-18.314535042735063</v>
          </cell>
          <cell r="F532">
            <v>6986.1238750000011</v>
          </cell>
          <cell r="G532">
            <v>6871.9589465556755</v>
          </cell>
          <cell r="H532">
            <v>-114.16492844432332</v>
          </cell>
          <cell r="J532">
            <v>3076.3660944444441</v>
          </cell>
          <cell r="K532">
            <v>3115.2820199219368</v>
          </cell>
          <cell r="L532">
            <v>38.915925477492237</v>
          </cell>
          <cell r="N532">
            <v>940.77437499999996</v>
          </cell>
          <cell r="O532">
            <v>944.84908277404929</v>
          </cell>
          <cell r="P532">
            <v>4.0747077740492426</v>
          </cell>
          <cell r="R532">
            <v>2646.3795861111112</v>
          </cell>
          <cell r="S532">
            <v>2605.0319491269361</v>
          </cell>
          <cell r="T532">
            <v>-41.347636984175352</v>
          </cell>
          <cell r="V532">
            <v>15597.024341666667</v>
          </cell>
          <cell r="W532">
            <v>15466.187874446974</v>
          </cell>
          <cell r="X532">
            <v>-130.83646721969188</v>
          </cell>
        </row>
        <row r="534">
          <cell r="A534" t="str">
            <v>Total</v>
          </cell>
          <cell r="B534">
            <v>9800.911331841</v>
          </cell>
          <cell r="C534">
            <v>10024.012220424385</v>
          </cell>
          <cell r="D534">
            <v>223.10088858338409</v>
          </cell>
          <cell r="F534">
            <v>29724.25734323966</v>
          </cell>
          <cell r="G534">
            <v>29252.551427661252</v>
          </cell>
          <cell r="H534">
            <v>-471.70591557841504</v>
          </cell>
          <cell r="J534">
            <v>12696.893411602889</v>
          </cell>
          <cell r="K534">
            <v>13198.364353151113</v>
          </cell>
          <cell r="L534">
            <v>501.47094154822378</v>
          </cell>
          <cell r="N534">
            <v>3579.4683638025554</v>
          </cell>
          <cell r="O534">
            <v>3679.0111929668574</v>
          </cell>
          <cell r="P534">
            <v>99.542829164301864</v>
          </cell>
          <cell r="R534">
            <v>11199.900975267446</v>
          </cell>
          <cell r="S534">
            <v>11453.058790370631</v>
          </cell>
          <cell r="T534">
            <v>253.15781510318752</v>
          </cell>
          <cell r="V534">
            <v>67001.431425753559</v>
          </cell>
          <cell r="W534">
            <v>67606.997984574235</v>
          </cell>
          <cell r="X534">
            <v>605.5665588206806</v>
          </cell>
        </row>
      </sheetData>
      <sheetData sheetId="4">
        <row r="7">
          <cell r="B7" t="str">
            <v>Actual</v>
          </cell>
          <cell r="F7" t="str">
            <v>Actual</v>
          </cell>
          <cell r="V7" t="str">
            <v>Actual</v>
          </cell>
          <cell r="Z7" t="str">
            <v>Actual</v>
          </cell>
        </row>
        <row r="9">
          <cell r="A9" t="str">
            <v>South Canterbury DHB</v>
          </cell>
          <cell r="B9">
            <v>233.64161849710982</v>
          </cell>
          <cell r="C9">
            <v>180</v>
          </cell>
          <cell r="D9">
            <v>-53.641618497109818</v>
          </cell>
          <cell r="F9">
            <v>65.300788011978284</v>
          </cell>
          <cell r="G9">
            <v>67.328671328671334</v>
          </cell>
          <cell r="H9">
            <v>2.0278833166930497</v>
          </cell>
          <cell r="J9">
            <v>58.934036939313984</v>
          </cell>
          <cell r="K9">
            <v>57.978947368421053</v>
          </cell>
          <cell r="L9">
            <v>-0.95508957089293034</v>
          </cell>
          <cell r="N9">
            <v>38.587864940700186</v>
          </cell>
          <cell r="O9">
            <v>38.388888888888886</v>
          </cell>
          <cell r="P9">
            <v>-0.19897605181130018</v>
          </cell>
          <cell r="R9">
            <v>59.732549322056265</v>
          </cell>
          <cell r="S9">
            <v>60.124869090909094</v>
          </cell>
          <cell r="T9">
            <v>0.39231976885282904</v>
          </cell>
          <cell r="V9">
            <v>72.667468837204908</v>
          </cell>
          <cell r="W9">
            <v>71.528079865771815</v>
          </cell>
          <cell r="X9">
            <v>-1.1393889714330925</v>
          </cell>
          <cell r="Z9">
            <v>54.982825589310309</v>
          </cell>
        </row>
        <row r="10">
          <cell r="A10" t="str">
            <v>Tairawhiti DHB</v>
          </cell>
          <cell r="B10">
            <v>192.32458043414246</v>
          </cell>
          <cell r="C10">
            <v>194.20012993340916</v>
          </cell>
          <cell r="D10">
            <v>1.8755494992666968</v>
          </cell>
          <cell r="F10">
            <v>67.688580163467336</v>
          </cell>
          <cell r="G10">
            <v>62.982936571069722</v>
          </cell>
          <cell r="H10">
            <v>-4.7056435923976139</v>
          </cell>
          <cell r="J10">
            <v>55.988344644652209</v>
          </cell>
          <cell r="K10">
            <v>48.211025625492226</v>
          </cell>
          <cell r="L10">
            <v>-7.7773190191599824</v>
          </cell>
          <cell r="N10">
            <v>38.855372267305214</v>
          </cell>
          <cell r="O10">
            <v>49.496228197674434</v>
          </cell>
          <cell r="P10">
            <v>10.64085593036922</v>
          </cell>
          <cell r="R10">
            <v>53.046263592195579</v>
          </cell>
          <cell r="S10">
            <v>53.522934573691103</v>
          </cell>
          <cell r="T10">
            <v>0.47667098149552345</v>
          </cell>
          <cell r="V10">
            <v>73.043125442285969</v>
          </cell>
          <cell r="W10">
            <v>69.916245322654774</v>
          </cell>
          <cell r="X10">
            <v>-3.1268801196311955</v>
          </cell>
          <cell r="Z10">
            <v>53.568525526472548</v>
          </cell>
        </row>
        <row r="11">
          <cell r="A11" t="str">
            <v>Wairarapa DHB</v>
          </cell>
          <cell r="B11">
            <v>214.36298799300147</v>
          </cell>
          <cell r="C11">
            <v>248.03389830508473</v>
          </cell>
          <cell r="D11">
            <v>33.670910312083265</v>
          </cell>
          <cell r="F11">
            <v>77.715442194080268</v>
          </cell>
          <cell r="G11">
            <v>64.754098360655746</v>
          </cell>
          <cell r="H11">
            <v>-12.961343833424522</v>
          </cell>
          <cell r="J11">
            <v>59.311710672803336</v>
          </cell>
          <cell r="K11">
            <v>47.844990548204159</v>
          </cell>
          <cell r="L11">
            <v>-11.466720124599178</v>
          </cell>
          <cell r="N11">
            <v>44.028293037445181</v>
          </cell>
          <cell r="O11">
            <v>46.18181818181818</v>
          </cell>
          <cell r="P11">
            <v>2.153525144372999</v>
          </cell>
          <cell r="R11">
            <v>56.283210268442481</v>
          </cell>
          <cell r="S11">
            <v>56.976303317535546</v>
          </cell>
          <cell r="T11">
            <v>0.69309304909306491</v>
          </cell>
          <cell r="V11">
            <v>77.098768349698886</v>
          </cell>
          <cell r="W11">
            <v>71.072124756335285</v>
          </cell>
          <cell r="X11">
            <v>-6.0266435933636018</v>
          </cell>
          <cell r="Z11">
            <v>56.863003997167176</v>
          </cell>
        </row>
        <row r="12">
          <cell r="A12" t="str">
            <v>West Coast DHB</v>
          </cell>
          <cell r="B12">
            <v>298.54832485065987</v>
          </cell>
          <cell r="C12">
            <v>273.66197183098592</v>
          </cell>
          <cell r="D12">
            <v>-24.886353019673948</v>
          </cell>
          <cell r="F12">
            <v>71.371524538160102</v>
          </cell>
          <cell r="G12">
            <v>64.558770989639157</v>
          </cell>
          <cell r="H12">
            <v>-6.8127535485209449</v>
          </cell>
          <cell r="J12">
            <v>56.664127951256667</v>
          </cell>
          <cell r="K12">
            <v>53.425951653237014</v>
          </cell>
          <cell r="L12">
            <v>-3.2381762980196527</v>
          </cell>
          <cell r="N12">
            <v>41.474201474201472</v>
          </cell>
          <cell r="O12">
            <v>42.70063694267516</v>
          </cell>
          <cell r="P12">
            <v>1.2264354684736887</v>
          </cell>
          <cell r="R12">
            <v>58.432670212278573</v>
          </cell>
          <cell r="S12">
            <v>59.9375</v>
          </cell>
          <cell r="T12">
            <v>1.5048297877214267</v>
          </cell>
          <cell r="V12">
            <v>73.995822207320245</v>
          </cell>
          <cell r="W12">
            <v>70.813485926384175</v>
          </cell>
          <cell r="X12">
            <v>-3.1823362809360702</v>
          </cell>
          <cell r="Z12">
            <v>55.454700908177792</v>
          </cell>
        </row>
        <row r="13">
          <cell r="A13" t="str">
            <v>Whanganui DHB</v>
          </cell>
          <cell r="B13">
            <v>211.9023526256108</v>
          </cell>
          <cell r="C13">
            <v>182.8183100397487</v>
          </cell>
          <cell r="D13">
            <v>-29.084042585862107</v>
          </cell>
          <cell r="F13">
            <v>64.92602044023181</v>
          </cell>
          <cell r="G13">
            <v>65.382224984462397</v>
          </cell>
          <cell r="H13">
            <v>0.45620454423058732</v>
          </cell>
          <cell r="J13">
            <v>62.512101137032332</v>
          </cell>
          <cell r="K13">
            <v>57.733908176386052</v>
          </cell>
          <cell r="L13">
            <v>-4.7781929606462796</v>
          </cell>
          <cell r="N13">
            <v>37.320275367131394</v>
          </cell>
          <cell r="O13">
            <v>35.30377668308703</v>
          </cell>
          <cell r="P13">
            <v>-2.0164986840443646</v>
          </cell>
          <cell r="R13">
            <v>53.094624920672821</v>
          </cell>
          <cell r="S13">
            <v>50.871305781231598</v>
          </cell>
          <cell r="T13">
            <v>-2.2233191394412231</v>
          </cell>
          <cell r="V13">
            <v>74.211533067156395</v>
          </cell>
          <cell r="W13">
            <v>72.205606731267693</v>
          </cell>
          <cell r="X13">
            <v>-2.0059263358887023</v>
          </cell>
          <cell r="Z13">
            <v>55.903931038412168</v>
          </cell>
        </row>
        <row r="14">
          <cell r="A14" t="str">
            <v>Medium</v>
          </cell>
        </row>
        <row r="15">
          <cell r="A15" t="str">
            <v>Bay of Plenty DHB</v>
          </cell>
          <cell r="B15">
            <v>187.00302653718538</v>
          </cell>
          <cell r="C15">
            <v>146.15073529411765</v>
          </cell>
          <cell r="D15">
            <v>-40.852291243067725</v>
          </cell>
          <cell r="F15">
            <v>67.391073910407528</v>
          </cell>
          <cell r="G15">
            <v>63.200811359026368</v>
          </cell>
          <cell r="H15">
            <v>-4.19026255138116</v>
          </cell>
          <cell r="J15">
            <v>57.94866952715423</v>
          </cell>
          <cell r="K15">
            <v>51.848416289592762</v>
          </cell>
          <cell r="L15">
            <v>-6.1002532375614678</v>
          </cell>
          <cell r="N15">
            <v>37.263888888888886</v>
          </cell>
          <cell r="O15">
            <v>26.783216783216783</v>
          </cell>
          <cell r="P15">
            <v>-10.480672105672102</v>
          </cell>
          <cell r="R15">
            <v>54.991354649750804</v>
          </cell>
          <cell r="S15">
            <v>49.531007751937985</v>
          </cell>
          <cell r="T15">
            <v>-5.4603468978128191</v>
          </cell>
          <cell r="V15">
            <v>73.086335825968732</v>
          </cell>
          <cell r="W15">
            <v>65.440440864773208</v>
          </cell>
          <cell r="X15">
            <v>-7.6458949611955234</v>
          </cell>
          <cell r="Z15">
            <v>53.626621726936186</v>
          </cell>
        </row>
        <row r="16">
          <cell r="A16" t="str">
            <v>Hawke's Bay DHB</v>
          </cell>
          <cell r="B16">
            <v>152.87044420814357</v>
          </cell>
          <cell r="C16">
            <v>135.0801447963801</v>
          </cell>
          <cell r="D16">
            <v>-17.790299411763471</v>
          </cell>
          <cell r="F16">
            <v>67.980365925512459</v>
          </cell>
          <cell r="G16">
            <v>65.21344588688946</v>
          </cell>
          <cell r="H16">
            <v>-2.7669200386229988</v>
          </cell>
          <cell r="J16">
            <v>59.585885005194207</v>
          </cell>
          <cell r="K16">
            <v>59.470372394366194</v>
          </cell>
          <cell r="L16">
            <v>-0.1155126108280129</v>
          </cell>
          <cell r="N16">
            <v>40.802041044776118</v>
          </cell>
          <cell r="O16">
            <v>38.250158823529411</v>
          </cell>
          <cell r="P16">
            <v>-2.5518822212467072</v>
          </cell>
          <cell r="R16">
            <v>58.600682191952806</v>
          </cell>
          <cell r="S16">
            <v>54.296606632653059</v>
          </cell>
          <cell r="T16">
            <v>-4.3040755592997471</v>
          </cell>
          <cell r="V16">
            <v>72.335483910471339</v>
          </cell>
          <cell r="W16">
            <v>68.11213947927736</v>
          </cell>
          <cell r="X16">
            <v>-4.2233444311939792</v>
          </cell>
          <cell r="Z16">
            <v>56.349363740335356</v>
          </cell>
        </row>
        <row r="17">
          <cell r="A17" t="str">
            <v>Hutt Valley DHB</v>
          </cell>
          <cell r="B17">
            <v>165.32625994694959</v>
          </cell>
          <cell r="C17">
            <v>144.60098522167488</v>
          </cell>
          <cell r="D17">
            <v>-20.725274725274716</v>
          </cell>
          <cell r="F17">
            <v>67.851013077809313</v>
          </cell>
          <cell r="G17">
            <v>64.759036144578317</v>
          </cell>
          <cell r="H17">
            <v>-3.0919769332309954</v>
          </cell>
          <cell r="J17">
            <v>56.487864991064768</v>
          </cell>
          <cell r="K17">
            <v>52.058394160583944</v>
          </cell>
          <cell r="L17">
            <v>-4.4294708304808239</v>
          </cell>
          <cell r="N17">
            <v>40.306878306878303</v>
          </cell>
          <cell r="O17">
            <v>37.615384615384613</v>
          </cell>
          <cell r="P17">
            <v>-2.6914936914936902</v>
          </cell>
          <cell r="R17">
            <v>56.973166697133863</v>
          </cell>
          <cell r="S17">
            <v>56.350609756097562</v>
          </cell>
          <cell r="T17">
            <v>-0.62255694103630077</v>
          </cell>
          <cell r="V17">
            <v>72.529780448514131</v>
          </cell>
          <cell r="W17">
            <v>68.153211549793753</v>
          </cell>
          <cell r="X17">
            <v>-4.3765688987203788</v>
          </cell>
          <cell r="Z17">
            <v>54.788933789244638</v>
          </cell>
        </row>
        <row r="18">
          <cell r="A18" t="str">
            <v>Lakes DHB</v>
          </cell>
          <cell r="B18">
            <v>188.38596491228071</v>
          </cell>
          <cell r="C18">
            <v>175.73599999999999</v>
          </cell>
          <cell r="D18">
            <v>-12.649964912280723</v>
          </cell>
          <cell r="F18">
            <v>65.154570637119107</v>
          </cell>
          <cell r="G18">
            <v>64.683486238532112</v>
          </cell>
          <cell r="H18">
            <v>-0.47108439858699569</v>
          </cell>
          <cell r="J18">
            <v>60.629629629629626</v>
          </cell>
          <cell r="K18">
            <v>60.73575129533679</v>
          </cell>
          <cell r="L18">
            <v>0.10612166570716397</v>
          </cell>
          <cell r="N18">
            <v>41.93333333333333</v>
          </cell>
          <cell r="O18">
            <v>40.666666666666664</v>
          </cell>
          <cell r="P18">
            <v>-1.2666666666666657</v>
          </cell>
          <cell r="R18">
            <v>58.771595929191633</v>
          </cell>
          <cell r="S18">
            <v>60.015686274509804</v>
          </cell>
          <cell r="T18">
            <v>1.2440903453181704</v>
          </cell>
          <cell r="V18">
            <v>75.870718093974375</v>
          </cell>
          <cell r="W18">
            <v>75.471607314725702</v>
          </cell>
          <cell r="X18">
            <v>-0.399110779248673</v>
          </cell>
          <cell r="Z18">
            <v>58.435640613501135</v>
          </cell>
        </row>
        <row r="19">
          <cell r="A19" t="str">
            <v>MidCentral DHB</v>
          </cell>
          <cell r="B19">
            <v>164.61596448613787</v>
          </cell>
          <cell r="C19">
            <v>145.13333333333333</v>
          </cell>
          <cell r="D19">
            <v>-19.482631152804544</v>
          </cell>
          <cell r="F19">
            <v>67.462612463921147</v>
          </cell>
          <cell r="G19">
            <v>63.626519337016575</v>
          </cell>
          <cell r="H19">
            <v>-3.8360931269045722</v>
          </cell>
          <cell r="J19">
            <v>57.657914043419289</v>
          </cell>
          <cell r="K19">
            <v>58.44632768361582</v>
          </cell>
          <cell r="L19">
            <v>0.78841364019653071</v>
          </cell>
          <cell r="N19">
            <v>29.011474504510034</v>
          </cell>
          <cell r="O19">
            <v>43.45945945945946</v>
          </cell>
          <cell r="P19">
            <v>14.447984954949426</v>
          </cell>
          <cell r="R19">
            <v>52.508300792862563</v>
          </cell>
          <cell r="S19">
            <v>48.764822134387352</v>
          </cell>
          <cell r="T19">
            <v>-3.7434786584752118</v>
          </cell>
          <cell r="V19">
            <v>72.70699616372751</v>
          </cell>
          <cell r="W19">
            <v>68.820612542537674</v>
          </cell>
          <cell r="X19">
            <v>-3.8863836211898359</v>
          </cell>
          <cell r="Z19">
            <v>53.434446225691779</v>
          </cell>
        </row>
        <row r="20">
          <cell r="A20" t="str">
            <v>Nelson Marlborough DHB</v>
          </cell>
          <cell r="B20">
            <v>198.82638694839113</v>
          </cell>
          <cell r="C20">
            <v>209.88705152812639</v>
          </cell>
          <cell r="D20">
            <v>11.06066457973526</v>
          </cell>
          <cell r="F20">
            <v>69.371163562605517</v>
          </cell>
          <cell r="G20">
            <v>66.771103793299986</v>
          </cell>
          <cell r="H20">
            <v>-2.6000597693055312</v>
          </cell>
          <cell r="J20">
            <v>54.248110217439773</v>
          </cell>
          <cell r="K20">
            <v>50.491724591562814</v>
          </cell>
          <cell r="L20">
            <v>-3.756385625876959</v>
          </cell>
          <cell r="N20">
            <v>41.264491920611782</v>
          </cell>
          <cell r="O20">
            <v>38.223558403154271</v>
          </cell>
          <cell r="P20">
            <v>-3.0409335174575105</v>
          </cell>
          <cell r="R20">
            <v>58.825598025336674</v>
          </cell>
          <cell r="S20">
            <v>57.811817729520918</v>
          </cell>
          <cell r="T20">
            <v>-1.0137802958157565</v>
          </cell>
          <cell r="V20">
            <v>70.84557089661422</v>
          </cell>
          <cell r="W20">
            <v>69.180764349175007</v>
          </cell>
          <cell r="X20">
            <v>-1.6648065474392126</v>
          </cell>
          <cell r="Z20">
            <v>54.486123372806965</v>
          </cell>
        </row>
        <row r="21">
          <cell r="A21" t="str">
            <v>Northland DHB</v>
          </cell>
          <cell r="B21">
            <v>183.19497979504831</v>
          </cell>
          <cell r="C21">
            <v>155.18648106527223</v>
          </cell>
          <cell r="D21">
            <v>-28.008498729776079</v>
          </cell>
          <cell r="F21">
            <v>65.910827625940314</v>
          </cell>
          <cell r="G21">
            <v>63.311074619009844</v>
          </cell>
          <cell r="H21">
            <v>-2.5997530069304702</v>
          </cell>
          <cell r="J21">
            <v>57.971666542643085</v>
          </cell>
          <cell r="K21">
            <v>57.006573464043228</v>
          </cell>
          <cell r="L21">
            <v>-0.96509307859985682</v>
          </cell>
          <cell r="N21">
            <v>40.053204125470145</v>
          </cell>
          <cell r="O21">
            <v>37.229084755711249</v>
          </cell>
          <cell r="P21">
            <v>-2.8241193697588969</v>
          </cell>
          <cell r="R21">
            <v>58.441632115429883</v>
          </cell>
          <cell r="S21">
            <v>50.280290765172488</v>
          </cell>
          <cell r="T21">
            <v>-8.1613413502573948</v>
          </cell>
          <cell r="V21">
            <v>73.351740931977602</v>
          </cell>
          <cell r="W21">
            <v>67.595690609661006</v>
          </cell>
          <cell r="X21">
            <v>-5.7560503223165966</v>
          </cell>
          <cell r="Z21">
            <v>56.448641617132353</v>
          </cell>
        </row>
        <row r="22">
          <cell r="A22" t="str">
            <v>Southland DHB</v>
          </cell>
          <cell r="B22">
            <v>205.48552575361973</v>
          </cell>
          <cell r="C22">
            <v>186.1530384098042</v>
          </cell>
          <cell r="D22">
            <v>-19.332487343815529</v>
          </cell>
          <cell r="F22">
            <v>69.0848291561515</v>
          </cell>
          <cell r="G22">
            <v>69.467258601553823</v>
          </cell>
          <cell r="H22">
            <v>0.38242944540232315</v>
          </cell>
          <cell r="J22">
            <v>57.942139264780167</v>
          </cell>
          <cell r="K22">
            <v>56.377177632644255</v>
          </cell>
          <cell r="L22">
            <v>-1.5649616321359119</v>
          </cell>
          <cell r="N22">
            <v>38.367152153703124</v>
          </cell>
          <cell r="O22">
            <v>37.799999999999997</v>
          </cell>
          <cell r="P22">
            <v>-0.56715215370312677</v>
          </cell>
          <cell r="R22">
            <v>55.784402105291385</v>
          </cell>
          <cell r="S22">
            <v>52.393852585361302</v>
          </cell>
          <cell r="T22">
            <v>-3.390549519930083</v>
          </cell>
          <cell r="V22">
            <v>78.573534015349068</v>
          </cell>
          <cell r="W22">
            <v>78.538670244723036</v>
          </cell>
          <cell r="X22">
            <v>-3.4863770626031965E-2</v>
          </cell>
          <cell r="Z22">
            <v>56.016394843314146</v>
          </cell>
        </row>
        <row r="23">
          <cell r="A23" t="str">
            <v>Taranaki DHB</v>
          </cell>
          <cell r="B23">
            <v>167.17147882792054</v>
          </cell>
          <cell r="C23">
            <v>155.89743589743588</v>
          </cell>
          <cell r="D23">
            <v>-11.274042930484654</v>
          </cell>
          <cell r="F23">
            <v>67.593239578042514</v>
          </cell>
          <cell r="G23">
            <v>63.960238568588473</v>
          </cell>
          <cell r="H23">
            <v>-3.6330010094540413</v>
          </cell>
          <cell r="J23">
            <v>58.656033023074066</v>
          </cell>
          <cell r="K23">
            <v>56.467741935483872</v>
          </cell>
          <cell r="L23">
            <v>-2.1882910875901942</v>
          </cell>
          <cell r="N23">
            <v>39.194523819585996</v>
          </cell>
          <cell r="O23">
            <v>32.57</v>
          </cell>
          <cell r="P23">
            <v>-6.6245238195859955</v>
          </cell>
          <cell r="R23">
            <v>54.101037209618582</v>
          </cell>
          <cell r="S23">
            <v>55.519650655021834</v>
          </cell>
          <cell r="T23">
            <v>1.4186134454032526</v>
          </cell>
          <cell r="V23">
            <v>70.405134425794202</v>
          </cell>
          <cell r="W23">
            <v>67.157059314954054</v>
          </cell>
          <cell r="X23">
            <v>-3.2480751108401478</v>
          </cell>
          <cell r="Z23">
            <v>53.69306429173146</v>
          </cell>
        </row>
        <row r="24">
          <cell r="A24" t="str">
            <v>Large</v>
          </cell>
        </row>
        <row r="25">
          <cell r="A25" t="str">
            <v>Auckland DHB</v>
          </cell>
          <cell r="B25">
            <v>160.82586385191274</v>
          </cell>
          <cell r="C25">
            <v>125.87491746777583</v>
          </cell>
          <cell r="D25">
            <v>-34.950946384136913</v>
          </cell>
          <cell r="F25">
            <v>66.12677448621146</v>
          </cell>
          <cell r="G25">
            <v>67.97776063038468</v>
          </cell>
          <cell r="H25">
            <v>1.8509861441732198</v>
          </cell>
          <cell r="J25">
            <v>65.221646482725504</v>
          </cell>
          <cell r="K25">
            <v>62.081324931274146</v>
          </cell>
          <cell r="L25">
            <v>-3.1403215514513576</v>
          </cell>
          <cell r="N25">
            <v>40.028233289882941</v>
          </cell>
          <cell r="O25">
            <v>36.688187515668083</v>
          </cell>
          <cell r="P25">
            <v>-3.3400457742148575</v>
          </cell>
          <cell r="R25">
            <v>75.928630976315461</v>
          </cell>
          <cell r="S25">
            <v>68.972619516657886</v>
          </cell>
          <cell r="T25">
            <v>-6.9560114596575744</v>
          </cell>
          <cell r="V25">
            <v>82.933335891101464</v>
          </cell>
          <cell r="W25">
            <v>76.809251902953037</v>
          </cell>
          <cell r="X25">
            <v>-6.1240839881484277</v>
          </cell>
          <cell r="Z25">
            <v>68.247499273422946</v>
          </cell>
        </row>
        <row r="26">
          <cell r="A26" t="str">
            <v>Canterbury DHB</v>
          </cell>
          <cell r="B26">
            <v>158.07501321453657</v>
          </cell>
          <cell r="C26">
            <v>164.69814900578154</v>
          </cell>
          <cell r="D26">
            <v>6.6231357912449766</v>
          </cell>
          <cell r="F26">
            <v>63.386489156985327</v>
          </cell>
          <cell r="G26">
            <v>63.027243764295825</v>
          </cell>
          <cell r="H26">
            <v>-0.35924539268950184</v>
          </cell>
          <cell r="J26">
            <v>56.580798819520957</v>
          </cell>
          <cell r="K26">
            <v>54.054396152081388</v>
          </cell>
          <cell r="L26">
            <v>-2.5264026674395694</v>
          </cell>
          <cell r="N26">
            <v>45.064649780845301</v>
          </cell>
          <cell r="O26">
            <v>42.393736017897098</v>
          </cell>
          <cell r="P26">
            <v>-2.6709137629482029</v>
          </cell>
          <cell r="R26">
            <v>54.208392861802764</v>
          </cell>
          <cell r="S26">
            <v>49.104508859747625</v>
          </cell>
          <cell r="T26">
            <v>-5.103884002055139</v>
          </cell>
          <cell r="V26">
            <v>70.417143081425877</v>
          </cell>
          <cell r="W26">
            <v>68.703445382054156</v>
          </cell>
          <cell r="X26">
            <v>-1.7136976993717212</v>
          </cell>
          <cell r="Z26">
            <v>54.243886869271691</v>
          </cell>
        </row>
        <row r="27">
          <cell r="A27" t="str">
            <v>Capital &amp; Coast DHB</v>
          </cell>
          <cell r="B27">
            <v>139.54002171928374</v>
          </cell>
          <cell r="C27">
            <v>126.45826229143847</v>
          </cell>
          <cell r="D27">
            <v>-13.08175942784527</v>
          </cell>
          <cell r="F27">
            <v>67.863451839002238</v>
          </cell>
          <cell r="G27">
            <v>65.977777843777844</v>
          </cell>
          <cell r="H27">
            <v>-1.8856739952243942</v>
          </cell>
          <cell r="J27">
            <v>56.890291545998842</v>
          </cell>
          <cell r="K27">
            <v>60.6080506507436</v>
          </cell>
          <cell r="L27">
            <v>3.7177591047447578</v>
          </cell>
          <cell r="N27">
            <v>40.202343079537634</v>
          </cell>
          <cell r="O27">
            <v>36.905816016944307</v>
          </cell>
          <cell r="P27">
            <v>-3.2965270625933272</v>
          </cell>
          <cell r="R27">
            <v>59.268866429614448</v>
          </cell>
          <cell r="S27">
            <v>57.022695711756974</v>
          </cell>
          <cell r="T27">
            <v>-2.2461707178574741</v>
          </cell>
          <cell r="V27">
            <v>74.522576373470997</v>
          </cell>
          <cell r="W27">
            <v>72.11189282745346</v>
          </cell>
          <cell r="X27">
            <v>-2.4106835460175375</v>
          </cell>
          <cell r="Z27">
            <v>56.165934401131445</v>
          </cell>
        </row>
        <row r="28">
          <cell r="A28" t="str">
            <v>Counties Manukau DHB</v>
          </cell>
          <cell r="B28">
            <v>140.73593450035787</v>
          </cell>
          <cell r="C28">
            <v>133.63074901445466</v>
          </cell>
          <cell r="D28">
            <v>-7.1051854859032062</v>
          </cell>
          <cell r="F28">
            <v>68.655734668809032</v>
          </cell>
          <cell r="G28">
            <v>66.629297458893873</v>
          </cell>
          <cell r="H28">
            <v>-2.0264372099151586</v>
          </cell>
          <cell r="J28">
            <v>59.912569676531938</v>
          </cell>
          <cell r="K28">
            <v>57.960444993819529</v>
          </cell>
          <cell r="L28">
            <v>-1.9521246827124088</v>
          </cell>
          <cell r="N28">
            <v>55.095042714713287</v>
          </cell>
          <cell r="O28">
            <v>55.233870967741936</v>
          </cell>
          <cell r="P28">
            <v>0.13882825302864887</v>
          </cell>
          <cell r="R28">
            <v>67.313818768839553</v>
          </cell>
          <cell r="S28">
            <v>60.580559254327561</v>
          </cell>
          <cell r="T28">
            <v>-6.7332595145119924</v>
          </cell>
          <cell r="V28">
            <v>78.817156191451772</v>
          </cell>
          <cell r="W28">
            <v>75.169137466307276</v>
          </cell>
          <cell r="X28">
            <v>-3.648018725144496</v>
          </cell>
          <cell r="Z28">
            <v>62.791567464295802</v>
          </cell>
        </row>
        <row r="29">
          <cell r="A29" t="str">
            <v>Otago DHB</v>
          </cell>
          <cell r="B29">
            <v>182.78515744073351</v>
          </cell>
          <cell r="C29">
            <v>158.86008791875093</v>
          </cell>
          <cell r="D29">
            <v>-23.925069521982579</v>
          </cell>
          <cell r="F29">
            <v>68.367101904386104</v>
          </cell>
          <cell r="G29">
            <v>64.270057858257147</v>
          </cell>
          <cell r="H29">
            <v>-4.097044046128957</v>
          </cell>
          <cell r="J29">
            <v>60.385489391659249</v>
          </cell>
          <cell r="K29">
            <v>56.390708160382594</v>
          </cell>
          <cell r="L29">
            <v>-3.9947812312766544</v>
          </cell>
          <cell r="N29">
            <v>42.091658547553024</v>
          </cell>
          <cell r="O29">
            <v>39.16319202626557</v>
          </cell>
          <cell r="P29">
            <v>-2.9284665212874543</v>
          </cell>
          <cell r="R29">
            <v>55.523395838367271</v>
          </cell>
          <cell r="S29">
            <v>53.735362712019722</v>
          </cell>
          <cell r="T29">
            <v>-1.7880331263475497</v>
          </cell>
          <cell r="V29">
            <v>77.617916055152349</v>
          </cell>
          <cell r="W29">
            <v>71.816587502767646</v>
          </cell>
          <cell r="X29">
            <v>-5.8013285523847031</v>
          </cell>
          <cell r="Z29">
            <v>55.956591777513864</v>
          </cell>
        </row>
        <row r="30">
          <cell r="A30" t="str">
            <v>Waikato DHB</v>
          </cell>
          <cell r="B30">
            <v>181.86061573670111</v>
          </cell>
          <cell r="C30">
            <v>158.21273953464305</v>
          </cell>
          <cell r="D30">
            <v>-23.647876202058058</v>
          </cell>
          <cell r="F30">
            <v>69.608711659487597</v>
          </cell>
          <cell r="G30">
            <v>64.776537322994102</v>
          </cell>
          <cell r="H30">
            <v>-4.8321743364934946</v>
          </cell>
          <cell r="J30">
            <v>59.495249447274816</v>
          </cell>
          <cell r="K30">
            <v>56.961747568081528</v>
          </cell>
          <cell r="L30">
            <v>-2.5335018791932882</v>
          </cell>
          <cell r="N30">
            <v>39.337134418967139</v>
          </cell>
          <cell r="O30">
            <v>36.069777749635911</v>
          </cell>
          <cell r="P30">
            <v>-3.2673566693312281</v>
          </cell>
          <cell r="R30">
            <v>56.148590264836074</v>
          </cell>
          <cell r="S30">
            <v>53.138693417178217</v>
          </cell>
          <cell r="T30">
            <v>-3.0098968476578563</v>
          </cell>
          <cell r="V30">
            <v>77.048626723631642</v>
          </cell>
          <cell r="W30">
            <v>70.585947321257805</v>
          </cell>
          <cell r="X30">
            <v>-6.462679402373837</v>
          </cell>
          <cell r="Z30">
            <v>54.906661290106477</v>
          </cell>
        </row>
        <row r="31">
          <cell r="A31" t="str">
            <v>Waitemata DHB</v>
          </cell>
          <cell r="B31">
            <v>148.85551814641801</v>
          </cell>
          <cell r="C31">
            <v>169.85480943738656</v>
          </cell>
          <cell r="D31">
            <v>20.999291290968557</v>
          </cell>
          <cell r="F31">
            <v>69.023115756831004</v>
          </cell>
          <cell r="G31">
            <v>66.866239120476408</v>
          </cell>
          <cell r="H31">
            <v>-2.1568766363545961</v>
          </cell>
          <cell r="J31">
            <v>61.437620133985284</v>
          </cell>
          <cell r="K31">
            <v>55.524221453287197</v>
          </cell>
          <cell r="L31">
            <v>-5.9133986806980872</v>
          </cell>
          <cell r="N31">
            <v>45.270745048160272</v>
          </cell>
          <cell r="O31">
            <v>44.289256198347104</v>
          </cell>
          <cell r="P31">
            <v>-0.98148884981316797</v>
          </cell>
          <cell r="R31">
            <v>64.926925608953255</v>
          </cell>
          <cell r="S31">
            <v>60.183833116036503</v>
          </cell>
          <cell r="T31">
            <v>-4.7430924929167517</v>
          </cell>
          <cell r="V31">
            <v>77.343252814436241</v>
          </cell>
          <cell r="W31">
            <v>74.354332356634572</v>
          </cell>
          <cell r="X31">
            <v>-2.9889204578016688</v>
          </cell>
          <cell r="Z31">
            <v>61.832666577132223</v>
          </cell>
        </row>
        <row r="32">
          <cell r="A32" t="str">
            <v>TOTAL</v>
          </cell>
          <cell r="B32">
            <v>163.58240398256234</v>
          </cell>
          <cell r="C32">
            <v>148.66168906546636</v>
          </cell>
          <cell r="D32">
            <v>-14.920714917095978</v>
          </cell>
          <cell r="F32">
            <v>67.30276940428783</v>
          </cell>
          <cell r="G32">
            <v>65.419094008281334</v>
          </cell>
          <cell r="H32">
            <v>-1.8836753960064954</v>
          </cell>
          <cell r="J32">
            <v>59.506161303707565</v>
          </cell>
          <cell r="K32">
            <v>56.733884929923683</v>
          </cell>
          <cell r="L32">
            <v>-2.7722763737838818</v>
          </cell>
          <cell r="N32">
            <v>41.596749213390787</v>
          </cell>
          <cell r="O32">
            <v>38.836991049269457</v>
          </cell>
          <cell r="P32">
            <v>-2.7597581641213296</v>
          </cell>
          <cell r="R32">
            <v>60.368576807732893</v>
          </cell>
          <cell r="S32">
            <v>56.620551557532607</v>
          </cell>
          <cell r="T32">
            <v>-3.7480252502002855</v>
          </cell>
          <cell r="V32">
            <v>75.734829738750676</v>
          </cell>
          <cell r="W32">
            <v>71.78999687315698</v>
          </cell>
          <cell r="X32">
            <v>-3.9448328655936962</v>
          </cell>
          <cell r="Z32">
            <v>58.081852766634398</v>
          </cell>
        </row>
        <row r="36">
          <cell r="B36">
            <v>188.66243599232752</v>
          </cell>
          <cell r="F36">
            <v>68.595218391076173</v>
          </cell>
          <cell r="V36">
            <v>77.897631614845963</v>
          </cell>
          <cell r="Z36">
            <v>55.973146696151503</v>
          </cell>
        </row>
        <row r="55">
          <cell r="A55" t="str">
            <v>South Canterbury DHB</v>
          </cell>
          <cell r="B55">
            <v>256.73850158074532</v>
          </cell>
          <cell r="C55">
            <v>286.05351170568559</v>
          </cell>
          <cell r="D55">
            <v>29.315010124940272</v>
          </cell>
          <cell r="F55">
            <v>68.588021347812017</v>
          </cell>
          <cell r="G55">
            <v>70.915451895043731</v>
          </cell>
          <cell r="H55">
            <v>2.3274305472317138</v>
          </cell>
          <cell r="J55">
            <v>63.527941536037389</v>
          </cell>
          <cell r="K55">
            <v>60.237819983484719</v>
          </cell>
          <cell r="L55">
            <v>-3.2901215525526695</v>
          </cell>
          <cell r="N55">
            <v>38.907856468917487</v>
          </cell>
          <cell r="O55">
            <v>41.001584786053883</v>
          </cell>
          <cell r="P55">
            <v>2.0937283171363958</v>
          </cell>
          <cell r="R55">
            <v>62.138868394891432</v>
          </cell>
          <cell r="S55">
            <v>62.43321799307958</v>
          </cell>
          <cell r="T55">
            <v>0.29434959818814832</v>
          </cell>
          <cell r="V55">
            <v>76.320043103448285</v>
          </cell>
          <cell r="W55">
            <v>82.479289131920723</v>
          </cell>
          <cell r="X55">
            <v>6.1592460284724382</v>
          </cell>
          <cell r="Z55">
            <v>57.453148560350407</v>
          </cell>
        </row>
        <row r="56">
          <cell r="A56" t="str">
            <v>Tairawhiti DHB</v>
          </cell>
          <cell r="B56">
            <v>236.51264221968449</v>
          </cell>
          <cell r="C56">
            <v>201.14428253968256</v>
          </cell>
          <cell r="D56">
            <v>-35.36835968000193</v>
          </cell>
          <cell r="F56">
            <v>74.641306771394696</v>
          </cell>
          <cell r="G56">
            <v>65.814972580645147</v>
          </cell>
          <cell r="H56">
            <v>-8.8263341907495487</v>
          </cell>
          <cell r="J56">
            <v>60.786926949916094</v>
          </cell>
          <cell r="K56">
            <v>58.158092907801418</v>
          </cell>
          <cell r="L56">
            <v>-2.6288340421146756</v>
          </cell>
          <cell r="N56">
            <v>44.453229076165655</v>
          </cell>
          <cell r="O56">
            <v>44.802631250000005</v>
          </cell>
          <cell r="P56">
            <v>0.34940217383434913</v>
          </cell>
          <cell r="R56">
            <v>55.095944962307591</v>
          </cell>
          <cell r="S56">
            <v>57.199294074074054</v>
          </cell>
          <cell r="T56">
            <v>2.1033491117664624</v>
          </cell>
          <cell r="V56">
            <v>81.736696101162593</v>
          </cell>
          <cell r="W56">
            <v>75.677016417910451</v>
          </cell>
          <cell r="X56">
            <v>-6.059679683252142</v>
          </cell>
          <cell r="Z56">
            <v>57.164102480497043</v>
          </cell>
        </row>
        <row r="57">
          <cell r="A57" t="str">
            <v>Wairarapa DHB</v>
          </cell>
          <cell r="B57">
            <v>229.39504669102723</v>
          </cell>
          <cell r="C57">
            <v>226.54545454545453</v>
          </cell>
          <cell r="D57">
            <v>-2.8495921455727</v>
          </cell>
          <cell r="F57">
            <v>72.474485212597671</v>
          </cell>
          <cell r="G57">
            <v>68.746987951807228</v>
          </cell>
          <cell r="H57">
            <v>-3.7274972607904431</v>
          </cell>
          <cell r="J57">
            <v>63.938377988972313</v>
          </cell>
          <cell r="K57">
            <v>59.227272727272727</v>
          </cell>
          <cell r="L57">
            <v>-4.7111052616995863</v>
          </cell>
          <cell r="N57">
            <v>48.596391459442692</v>
          </cell>
          <cell r="O57">
            <v>43</v>
          </cell>
          <cell r="P57">
            <v>-5.5963914594426925</v>
          </cell>
          <cell r="R57">
            <v>60.593319358501354</v>
          </cell>
          <cell r="S57">
            <v>61.301886792452834</v>
          </cell>
          <cell r="T57">
            <v>0.70856743395147959</v>
          </cell>
          <cell r="V57">
            <v>78.86522854962891</v>
          </cell>
          <cell r="W57">
            <v>76.824691358024694</v>
          </cell>
          <cell r="X57">
            <v>-2.0405371916042156</v>
          </cell>
          <cell r="Z57">
            <v>61.34273663831847</v>
          </cell>
        </row>
        <row r="58">
          <cell r="A58" t="str">
            <v>West Coast DHB</v>
          </cell>
          <cell r="B58">
            <v>286.80249468319749</v>
          </cell>
          <cell r="C58">
            <v>265.26407435897443</v>
          </cell>
          <cell r="D58">
            <v>-21.538420324223068</v>
          </cell>
          <cell r="F58">
            <v>72.30047255757647</v>
          </cell>
          <cell r="G58">
            <v>75.354932061068709</v>
          </cell>
          <cell r="H58">
            <v>3.0544595034922395</v>
          </cell>
          <cell r="J58">
            <v>58.270129902915635</v>
          </cell>
          <cell r="K58">
            <v>56.882136125654448</v>
          </cell>
          <cell r="L58">
            <v>-1.3879937772611868</v>
          </cell>
          <cell r="N58">
            <v>43.057649812303502</v>
          </cell>
          <cell r="O58">
            <v>43.392265853658536</v>
          </cell>
          <cell r="P58">
            <v>0.33461604135503364</v>
          </cell>
          <cell r="R58">
            <v>60.840093744366321</v>
          </cell>
          <cell r="S58">
            <v>62.674141732283452</v>
          </cell>
          <cell r="T58">
            <v>1.8340479879171312</v>
          </cell>
          <cell r="V58">
            <v>73.423886162158041</v>
          </cell>
          <cell r="W58">
            <v>76.805269696969702</v>
          </cell>
          <cell r="X58">
            <v>3.3813835348116612</v>
          </cell>
          <cell r="Z58">
            <v>57.501988521054045</v>
          </cell>
        </row>
        <row r="59">
          <cell r="A59" t="str">
            <v>Whanganui DHB</v>
          </cell>
          <cell r="B59">
            <v>216.09073300407738</v>
          </cell>
          <cell r="C59">
            <v>211.7967619630995</v>
          </cell>
          <cell r="D59">
            <v>-4.2939710409778797</v>
          </cell>
          <cell r="F59">
            <v>69.458925095166407</v>
          </cell>
          <cell r="G59">
            <v>65.31486433396276</v>
          </cell>
          <cell r="H59">
            <v>-4.1440607612036473</v>
          </cell>
          <cell r="J59">
            <v>63.960530704489365</v>
          </cell>
          <cell r="K59">
            <v>61.372320781049076</v>
          </cell>
          <cell r="L59">
            <v>-2.5882099234402887</v>
          </cell>
          <cell r="N59">
            <v>37.897445692055605</v>
          </cell>
          <cell r="O59">
            <v>36.613138686131379</v>
          </cell>
          <cell r="P59">
            <v>-1.2843070059242265</v>
          </cell>
          <cell r="R59">
            <v>54.937196604494247</v>
          </cell>
          <cell r="S59">
            <v>54.374141017224524</v>
          </cell>
          <cell r="T59">
            <v>-0.56305558726972293</v>
          </cell>
          <cell r="V59">
            <v>78.075436423045602</v>
          </cell>
          <cell r="W59">
            <v>76.29308859509068</v>
          </cell>
          <cell r="X59">
            <v>-1.7823478279549221</v>
          </cell>
          <cell r="Z59">
            <v>57.409242999528864</v>
          </cell>
        </row>
        <row r="60">
          <cell r="A60" t="str">
            <v>Medium</v>
          </cell>
        </row>
        <row r="61">
          <cell r="A61" t="str">
            <v>Bay of Plenty DHB</v>
          </cell>
          <cell r="B61">
            <v>183.75793650793651</v>
          </cell>
          <cell r="C61">
            <v>166.70610687022901</v>
          </cell>
          <cell r="D61">
            <v>-17.051829637707499</v>
          </cell>
          <cell r="F61">
            <v>70.938441027840938</v>
          </cell>
          <cell r="G61">
            <v>71.845252051582648</v>
          </cell>
          <cell r="H61">
            <v>0.90681102374171019</v>
          </cell>
          <cell r="J61">
            <v>62.369645042839657</v>
          </cell>
          <cell r="K61">
            <v>59.84878690991161</v>
          </cell>
          <cell r="L61">
            <v>-2.5208581329280477</v>
          </cell>
          <cell r="N61">
            <v>41.955666163880878</v>
          </cell>
          <cell r="O61">
            <v>41.254949010197961</v>
          </cell>
          <cell r="P61">
            <v>-0.70071715368291621</v>
          </cell>
          <cell r="R61">
            <v>58.408333333333331</v>
          </cell>
          <cell r="S61">
            <v>57.025793650793652</v>
          </cell>
          <cell r="T61">
            <v>-1.3825396825396794</v>
          </cell>
          <cell r="V61">
            <v>77.32409613827511</v>
          </cell>
          <cell r="W61">
            <v>75.286851274527777</v>
          </cell>
          <cell r="X61">
            <v>-2.0372448637473326</v>
          </cell>
          <cell r="Z61">
            <v>57.641737626334034</v>
          </cell>
        </row>
        <row r="62">
          <cell r="A62" t="str">
            <v>Hawke's Bay DHB</v>
          </cell>
          <cell r="B62">
            <v>143.83677806297166</v>
          </cell>
          <cell r="C62">
            <v>145.34409738651993</v>
          </cell>
          <cell r="D62">
            <v>1.5073193235482734</v>
          </cell>
          <cell r="F62">
            <v>68.910377887441996</v>
          </cell>
          <cell r="G62">
            <v>71.405558797745783</v>
          </cell>
          <cell r="H62">
            <v>2.4951809103037874</v>
          </cell>
          <cell r="J62">
            <v>60.621013373684796</v>
          </cell>
          <cell r="K62">
            <v>62.391680483232669</v>
          </cell>
          <cell r="L62">
            <v>1.7706671095478725</v>
          </cell>
          <cell r="N62">
            <v>40.638082384965614</v>
          </cell>
          <cell r="O62">
            <v>43.18206773572804</v>
          </cell>
          <cell r="P62">
            <v>2.5439853507624264</v>
          </cell>
          <cell r="R62">
            <v>59.450862473396626</v>
          </cell>
          <cell r="S62">
            <v>58.558356124899923</v>
          </cell>
          <cell r="T62">
            <v>-0.89250634849670263</v>
          </cell>
          <cell r="V62">
            <v>72.584829111902636</v>
          </cell>
          <cell r="W62">
            <v>74.07068474377256</v>
          </cell>
          <cell r="X62">
            <v>1.4858556318699243</v>
          </cell>
          <cell r="Z62">
            <v>56.967486836141944</v>
          </cell>
        </row>
        <row r="63">
          <cell r="A63" t="str">
            <v>Hutt Valley DHB</v>
          </cell>
          <cell r="B63">
            <v>167.1781250718835</v>
          </cell>
          <cell r="C63">
            <v>159.12120288988939</v>
          </cell>
          <cell r="D63">
            <v>-8.0569221819941106</v>
          </cell>
          <cell r="F63">
            <v>70.070641450286416</v>
          </cell>
          <cell r="G63">
            <v>67.329170162107772</v>
          </cell>
          <cell r="H63">
            <v>-2.7414712881786443</v>
          </cell>
          <cell r="J63">
            <v>61.442614579343804</v>
          </cell>
          <cell r="K63">
            <v>56.014482016627809</v>
          </cell>
          <cell r="L63">
            <v>-5.4281325627159944</v>
          </cell>
          <cell r="N63">
            <v>41.384841194183423</v>
          </cell>
          <cell r="O63">
            <v>39.544837665727108</v>
          </cell>
          <cell r="P63">
            <v>-1.8400035284563145</v>
          </cell>
          <cell r="R63">
            <v>61.660285177103496</v>
          </cell>
          <cell r="S63">
            <v>58.293135392176431</v>
          </cell>
          <cell r="T63">
            <v>-3.3671497849270651</v>
          </cell>
          <cell r="V63">
            <v>76.340536327521193</v>
          </cell>
          <cell r="W63">
            <v>72.24766863398132</v>
          </cell>
          <cell r="X63">
            <v>-4.0928676935398727</v>
          </cell>
          <cell r="Z63">
            <v>59.073425116760106</v>
          </cell>
        </row>
        <row r="64">
          <cell r="A64" t="str">
            <v>Lakes DHB</v>
          </cell>
          <cell r="B64">
            <v>185.28785969551117</v>
          </cell>
          <cell r="C64">
            <v>194.28015244499784</v>
          </cell>
          <cell r="D64">
            <v>8.9922927494866656</v>
          </cell>
          <cell r="F64">
            <v>69.780083453618531</v>
          </cell>
          <cell r="G64">
            <v>70.796947149316935</v>
          </cell>
          <cell r="H64">
            <v>1.0168636956984045</v>
          </cell>
          <cell r="J64">
            <v>69.262873442426056</v>
          </cell>
          <cell r="K64">
            <v>65.98313729572186</v>
          </cell>
          <cell r="L64">
            <v>-3.2797361467041952</v>
          </cell>
          <cell r="N64">
            <v>43.753601187109133</v>
          </cell>
          <cell r="O64">
            <v>36.158290635560881</v>
          </cell>
          <cell r="P64">
            <v>-7.595310551548252</v>
          </cell>
          <cell r="R64">
            <v>60.860677758438257</v>
          </cell>
          <cell r="S64">
            <v>61.563790432863065</v>
          </cell>
          <cell r="T64">
            <v>0.7031126744248084</v>
          </cell>
          <cell r="V64">
            <v>79.82938570002878</v>
          </cell>
          <cell r="W64">
            <v>82.73927086287334</v>
          </cell>
          <cell r="X64">
            <v>2.9098851628445601</v>
          </cell>
          <cell r="Z64">
            <v>62.490601383084687</v>
          </cell>
        </row>
        <row r="65">
          <cell r="A65" t="str">
            <v>MidCentral DHB</v>
          </cell>
          <cell r="B65">
            <v>175.96297003541227</v>
          </cell>
          <cell r="C65">
            <v>161.40248962655602</v>
          </cell>
          <cell r="D65">
            <v>-14.56048040885625</v>
          </cell>
          <cell r="F65">
            <v>67.833125810258679</v>
          </cell>
          <cell r="G65">
            <v>69.589519650655021</v>
          </cell>
          <cell r="H65">
            <v>1.7563938403963419</v>
          </cell>
          <cell r="J65">
            <v>61.813874644480848</v>
          </cell>
          <cell r="K65">
            <v>61.645604395604394</v>
          </cell>
          <cell r="L65">
            <v>-0.16827024887645337</v>
          </cell>
          <cell r="N65">
            <v>37.964495243160336</v>
          </cell>
          <cell r="O65">
            <v>37.288888888888891</v>
          </cell>
          <cell r="P65">
            <v>-0.67560635427144433</v>
          </cell>
          <cell r="R65">
            <v>51.964619944212636</v>
          </cell>
          <cell r="S65">
            <v>52.218512335373767</v>
          </cell>
          <cell r="T65">
            <v>0.2538923911611306</v>
          </cell>
          <cell r="V65">
            <v>75.344126550351106</v>
          </cell>
          <cell r="W65">
            <v>73.587953066362644</v>
          </cell>
          <cell r="X65">
            <v>-1.7561734839884622</v>
          </cell>
          <cell r="Z65">
            <v>55.058917153513789</v>
          </cell>
        </row>
        <row r="66">
          <cell r="A66" t="str">
            <v>Nelson Marlborough DHB</v>
          </cell>
          <cell r="B66">
            <v>230.26751504013595</v>
          </cell>
          <cell r="C66">
            <v>225.45815681544033</v>
          </cell>
          <cell r="D66">
            <v>-4.8093582246956146</v>
          </cell>
          <cell r="F66">
            <v>74.369852369852367</v>
          </cell>
          <cell r="G66">
            <v>71.609625526384193</v>
          </cell>
          <cell r="H66">
            <v>-2.7602268434681747</v>
          </cell>
          <cell r="J66">
            <v>56.350032402448015</v>
          </cell>
          <cell r="K66">
            <v>56.091612510432853</v>
          </cell>
          <cell r="L66">
            <v>-0.25841989201516213</v>
          </cell>
          <cell r="N66">
            <v>46.32276561458977</v>
          </cell>
          <cell r="O66">
            <v>43.080912192042405</v>
          </cell>
          <cell r="P66">
            <v>-3.241853422547365</v>
          </cell>
          <cell r="R66">
            <v>59.166723305919938</v>
          </cell>
          <cell r="S66">
            <v>59.275624789964276</v>
          </cell>
          <cell r="T66">
            <v>0.1089014840443383</v>
          </cell>
          <cell r="V66">
            <v>76.302483014643698</v>
          </cell>
          <cell r="W66">
            <v>74.439827957585592</v>
          </cell>
          <cell r="X66">
            <v>-1.862655057058106</v>
          </cell>
          <cell r="Z66">
            <v>56.306084965293515</v>
          </cell>
        </row>
        <row r="67">
          <cell r="A67" t="str">
            <v>Northland DHB</v>
          </cell>
          <cell r="B67">
            <v>177.71949775210913</v>
          </cell>
          <cell r="C67">
            <v>164.23460100741713</v>
          </cell>
          <cell r="D67">
            <v>-13.484896744692008</v>
          </cell>
          <cell r="F67">
            <v>69.538825303026712</v>
          </cell>
          <cell r="G67">
            <v>69.59404805936471</v>
          </cell>
          <cell r="H67">
            <v>5.5222756337997225E-2</v>
          </cell>
          <cell r="J67">
            <v>62.299114026179886</v>
          </cell>
          <cell r="K67">
            <v>58.421108688439126</v>
          </cell>
          <cell r="L67">
            <v>-3.8780053377407597</v>
          </cell>
          <cell r="N67">
            <v>42.543107837480065</v>
          </cell>
          <cell r="O67">
            <v>39.994804551087086</v>
          </cell>
          <cell r="P67">
            <v>-2.5483032863929793</v>
          </cell>
          <cell r="R67">
            <v>59.044316484797783</v>
          </cell>
          <cell r="S67">
            <v>58.057204693424914</v>
          </cell>
          <cell r="T67">
            <v>-0.9871117913728682</v>
          </cell>
          <cell r="V67">
            <v>75.206514987917132</v>
          </cell>
          <cell r="W67">
            <v>73.901293410754562</v>
          </cell>
          <cell r="X67">
            <v>-1.3052215771625697</v>
          </cell>
          <cell r="Z67">
            <v>58.997918034792413</v>
          </cell>
        </row>
        <row r="68">
          <cell r="A68" t="str">
            <v>Southland DHB</v>
          </cell>
          <cell r="B68">
            <v>208.26007742537311</v>
          </cell>
          <cell r="C68">
            <v>214.67561567074051</v>
          </cell>
          <cell r="D68">
            <v>6.4155382453674008</v>
          </cell>
          <cell r="F68">
            <v>71.713477501234678</v>
          </cell>
          <cell r="G68">
            <v>73.274605764002175</v>
          </cell>
          <cell r="H68">
            <v>1.5611282627674967</v>
          </cell>
          <cell r="J68">
            <v>60.970996503709344</v>
          </cell>
          <cell r="K68">
            <v>66.507352941176464</v>
          </cell>
          <cell r="L68">
            <v>5.5363564374671199</v>
          </cell>
          <cell r="N68">
            <v>41.675347334410347</v>
          </cell>
          <cell r="O68">
            <v>40.142857142857146</v>
          </cell>
          <cell r="P68">
            <v>-1.532490191553201</v>
          </cell>
          <cell r="R68">
            <v>58.68247460796853</v>
          </cell>
          <cell r="S68">
            <v>55.634042553191492</v>
          </cell>
          <cell r="T68">
            <v>-3.048432054777038</v>
          </cell>
          <cell r="V68">
            <v>80.872134306845211</v>
          </cell>
          <cell r="W68">
            <v>82.130593589229605</v>
          </cell>
          <cell r="X68">
            <v>1.2584592823843934</v>
          </cell>
          <cell r="Z68">
            <v>59.096022383891977</v>
          </cell>
        </row>
        <row r="69">
          <cell r="A69" t="str">
            <v>Taranaki DHB</v>
          </cell>
          <cell r="B69">
            <v>169.64953674397194</v>
          </cell>
          <cell r="C69">
            <v>147.99270072992701</v>
          </cell>
          <cell r="D69">
            <v>-21.656836014044927</v>
          </cell>
          <cell r="F69">
            <v>68.531683211921205</v>
          </cell>
          <cell r="G69">
            <v>67.417794970986463</v>
          </cell>
          <cell r="H69">
            <v>-1.1138882409347417</v>
          </cell>
          <cell r="J69">
            <v>61.054941145076647</v>
          </cell>
          <cell r="K69">
            <v>59.624060150375939</v>
          </cell>
          <cell r="L69">
            <v>-1.4308809947007077</v>
          </cell>
          <cell r="N69">
            <v>41.745595909512147</v>
          </cell>
          <cell r="O69">
            <v>42.875</v>
          </cell>
          <cell r="P69">
            <v>1.1294040904878528</v>
          </cell>
          <cell r="R69">
            <v>56.559178817028659</v>
          </cell>
          <cell r="S69">
            <v>56.6796875</v>
          </cell>
          <cell r="T69">
            <v>0.12050868297134087</v>
          </cell>
          <cell r="V69">
            <v>73.131240705269605</v>
          </cell>
          <cell r="W69">
            <v>70.627373417721515</v>
          </cell>
          <cell r="X69">
            <v>-2.5038672875480898</v>
          </cell>
          <cell r="Z69">
            <v>56.153922700884138</v>
          </cell>
        </row>
        <row r="70">
          <cell r="A70" t="str">
            <v>Large</v>
          </cell>
        </row>
        <row r="71">
          <cell r="A71" t="str">
            <v>Auckland DHB</v>
          </cell>
          <cell r="B71">
            <v>162.76873905971655</v>
          </cell>
          <cell r="C71">
            <v>157.26846030880051</v>
          </cell>
          <cell r="D71">
            <v>-5.5002787509160385</v>
          </cell>
          <cell r="F71">
            <v>70.661480938369877</v>
          </cell>
          <cell r="G71">
            <v>71.24094915646242</v>
          </cell>
          <cell r="H71">
            <v>0.57946821809254345</v>
          </cell>
          <cell r="J71">
            <v>67.423342253540071</v>
          </cell>
          <cell r="K71">
            <v>66.137368568104378</v>
          </cell>
          <cell r="L71">
            <v>-1.2859736854356925</v>
          </cell>
          <cell r="N71">
            <v>39.477374981432021</v>
          </cell>
          <cell r="O71">
            <v>35.41358636105371</v>
          </cell>
          <cell r="P71">
            <v>-4.0637886203783111</v>
          </cell>
          <cell r="R71">
            <v>79.078911640000584</v>
          </cell>
          <cell r="S71">
            <v>70.556492354870869</v>
          </cell>
          <cell r="T71">
            <v>-8.5224192851297147</v>
          </cell>
          <cell r="V71">
            <v>86.131232284975823</v>
          </cell>
          <cell r="W71">
            <v>83.117214016699734</v>
          </cell>
          <cell r="X71">
            <v>-3.0140182682760894</v>
          </cell>
          <cell r="Z71">
            <v>70.5751701044166</v>
          </cell>
        </row>
        <row r="72">
          <cell r="A72" t="str">
            <v>Canterbury DHB</v>
          </cell>
          <cell r="B72">
            <v>168.5834778703732</v>
          </cell>
          <cell r="C72">
            <v>166.65600000000001</v>
          </cell>
          <cell r="D72">
            <v>-1.9274778703731954</v>
          </cell>
          <cell r="F72">
            <v>66.648059216349878</v>
          </cell>
          <cell r="G72">
            <v>67.534943304999359</v>
          </cell>
          <cell r="H72">
            <v>0.88688408864948087</v>
          </cell>
          <cell r="J72">
            <v>60.296649551292788</v>
          </cell>
          <cell r="K72">
            <v>58.197701149425285</v>
          </cell>
          <cell r="L72">
            <v>-2.0989484018675029</v>
          </cell>
          <cell r="N72">
            <v>45.162871212779919</v>
          </cell>
          <cell r="O72">
            <v>47.962499999999999</v>
          </cell>
          <cell r="P72">
            <v>2.7996287872200796</v>
          </cell>
          <cell r="R72">
            <v>55.394572497948403</v>
          </cell>
          <cell r="S72">
            <v>58.141284403669722</v>
          </cell>
          <cell r="T72">
            <v>2.7467119057213196</v>
          </cell>
          <cell r="V72">
            <v>74.342628945068739</v>
          </cell>
          <cell r="W72">
            <v>74.520301018965668</v>
          </cell>
          <cell r="X72">
            <v>0.17767207389692885</v>
          </cell>
          <cell r="Z72">
            <v>56.55168187634191</v>
          </cell>
        </row>
        <row r="73">
          <cell r="A73" t="str">
            <v>Capital &amp; Coast DHB</v>
          </cell>
          <cell r="B73">
            <v>147.82318993090908</v>
          </cell>
          <cell r="C73">
            <v>141.7946115844718</v>
          </cell>
          <cell r="D73">
            <v>-6.0285783464372855</v>
          </cell>
          <cell r="F73">
            <v>70.101336156819258</v>
          </cell>
          <cell r="G73">
            <v>68.379356459477975</v>
          </cell>
          <cell r="H73">
            <v>-1.7219796973412826</v>
          </cell>
          <cell r="J73">
            <v>64.737504211540639</v>
          </cell>
          <cell r="K73">
            <v>63.309947277958763</v>
          </cell>
          <cell r="L73">
            <v>-1.4275569335818759</v>
          </cell>
          <cell r="N73">
            <v>42.231799515383273</v>
          </cell>
          <cell r="O73">
            <v>43.109538598765965</v>
          </cell>
          <cell r="P73">
            <v>0.8777390833826928</v>
          </cell>
          <cell r="R73">
            <v>60.962834629302243</v>
          </cell>
          <cell r="S73">
            <v>61.606292529303317</v>
          </cell>
          <cell r="T73">
            <v>0.64345790000107428</v>
          </cell>
          <cell r="V73">
            <v>78.747271321811397</v>
          </cell>
          <cell r="W73">
            <v>77.008425162331093</v>
          </cell>
          <cell r="X73">
            <v>-1.7388461594803033</v>
          </cell>
          <cell r="Z73">
            <v>60.532482126170507</v>
          </cell>
        </row>
        <row r="74">
          <cell r="A74" t="str">
            <v>Counties Manukau DHB</v>
          </cell>
          <cell r="B74">
            <v>160.54527095254124</v>
          </cell>
          <cell r="C74">
            <v>153.83515445838393</v>
          </cell>
          <cell r="D74">
            <v>-6.7101164941573188</v>
          </cell>
          <cell r="F74">
            <v>69.504359129921099</v>
          </cell>
          <cell r="G74">
            <v>70.584457997245721</v>
          </cell>
          <cell r="H74">
            <v>1.0800988673246223</v>
          </cell>
          <cell r="J74">
            <v>62.667347297915668</v>
          </cell>
          <cell r="K74">
            <v>63.864285714285714</v>
          </cell>
          <cell r="L74">
            <v>1.1969384163700454</v>
          </cell>
          <cell r="N74">
            <v>49.27699530516432</v>
          </cell>
          <cell r="O74">
            <v>58.147286821705428</v>
          </cell>
          <cell r="P74">
            <v>8.8702915165411085</v>
          </cell>
          <cell r="R74">
            <v>69.576386636393124</v>
          </cell>
          <cell r="S74">
            <v>68.701698087979679</v>
          </cell>
          <cell r="T74">
            <v>-0.87468854841344523</v>
          </cell>
          <cell r="V74">
            <v>81.20327885755529</v>
          </cell>
          <cell r="W74">
            <v>82.178630352518709</v>
          </cell>
          <cell r="X74">
            <v>0.97535149496341944</v>
          </cell>
          <cell r="Z74">
            <v>63.618591773379123</v>
          </cell>
        </row>
        <row r="75">
          <cell r="A75" t="str">
            <v>Otago DHB</v>
          </cell>
          <cell r="B75">
            <v>179.82815489422825</v>
          </cell>
          <cell r="C75">
            <v>177.72822590098596</v>
          </cell>
          <cell r="D75">
            <v>-2.0999289932422869</v>
          </cell>
          <cell r="F75">
            <v>69.508107358071669</v>
          </cell>
          <cell r="G75">
            <v>67.108463054615896</v>
          </cell>
          <cell r="H75">
            <v>-2.3996443034557728</v>
          </cell>
          <cell r="J75">
            <v>62.771422652153824</v>
          </cell>
          <cell r="K75">
            <v>62.165727305432306</v>
          </cell>
          <cell r="L75">
            <v>-0.60569534672151804</v>
          </cell>
          <cell r="N75">
            <v>42.531739734881114</v>
          </cell>
          <cell r="O75">
            <v>42.817067769083124</v>
          </cell>
          <cell r="P75">
            <v>0.28532803420200992</v>
          </cell>
          <cell r="R75">
            <v>56.945703549779829</v>
          </cell>
          <cell r="S75">
            <v>56.094435075885336</v>
          </cell>
          <cell r="T75">
            <v>-0.85126847389449267</v>
          </cell>
          <cell r="V75">
            <v>78.537441195614008</v>
          </cell>
          <cell r="W75">
            <v>77.221828665314291</v>
          </cell>
          <cell r="X75">
            <v>-1.3156125302997168</v>
          </cell>
          <cell r="Z75">
            <v>57.599089507401473</v>
          </cell>
        </row>
        <row r="76">
          <cell r="A76" t="str">
            <v>Waikato DHB</v>
          </cell>
          <cell r="B76">
            <v>189.61318635826851</v>
          </cell>
          <cell r="C76">
            <v>186.99173697926497</v>
          </cell>
          <cell r="D76">
            <v>-2.6214493790035363</v>
          </cell>
          <cell r="F76">
            <v>71.978908405943116</v>
          </cell>
          <cell r="G76">
            <v>68.579832050679457</v>
          </cell>
          <cell r="H76">
            <v>-3.3990763552636594</v>
          </cell>
          <cell r="J76">
            <v>62.110323968512255</v>
          </cell>
          <cell r="K76">
            <v>59.574709651150719</v>
          </cell>
          <cell r="L76">
            <v>-2.5356143173615351</v>
          </cell>
          <cell r="N76">
            <v>41.001745977003111</v>
          </cell>
          <cell r="O76">
            <v>39.432461853539728</v>
          </cell>
          <cell r="P76">
            <v>-1.5692841234633832</v>
          </cell>
          <cell r="R76">
            <v>57.261817044193627</v>
          </cell>
          <cell r="S76">
            <v>57.464577658829455</v>
          </cell>
          <cell r="T76">
            <v>0.20276061463582806</v>
          </cell>
          <cell r="V76">
            <v>79.446780331612914</v>
          </cell>
          <cell r="W76">
            <v>76.954389094407148</v>
          </cell>
          <cell r="X76">
            <v>-2.4923912372057657</v>
          </cell>
          <cell r="Z76">
            <v>56.751877792097886</v>
          </cell>
        </row>
        <row r="77">
          <cell r="A77" t="str">
            <v>Waitemata DHB</v>
          </cell>
          <cell r="B77">
            <v>175.95177966653264</v>
          </cell>
          <cell r="C77">
            <v>139.94704639003226</v>
          </cell>
          <cell r="D77">
            <v>-36.004733276500389</v>
          </cell>
          <cell r="F77">
            <v>70.95256268594126</v>
          </cell>
          <cell r="G77">
            <v>70.755529385787369</v>
          </cell>
          <cell r="H77">
            <v>-0.19703330015389042</v>
          </cell>
          <cell r="J77">
            <v>62.369792735481226</v>
          </cell>
          <cell r="K77">
            <v>61.786259541984727</v>
          </cell>
          <cell r="L77">
            <v>-0.58353319349649979</v>
          </cell>
          <cell r="N77">
            <v>47.309366132191698</v>
          </cell>
          <cell r="O77">
            <v>46.905263157894737</v>
          </cell>
          <cell r="P77">
            <v>-0.40410297429696129</v>
          </cell>
          <cell r="R77">
            <v>67.607073951570712</v>
          </cell>
          <cell r="S77">
            <v>65.209429593769727</v>
          </cell>
          <cell r="T77">
            <v>-2.3976443578009849</v>
          </cell>
          <cell r="V77">
            <v>81.170888856347929</v>
          </cell>
          <cell r="W77">
            <v>77.291688929907224</v>
          </cell>
          <cell r="X77">
            <v>-3.8791999264407053</v>
          </cell>
          <cell r="Z77">
            <v>63.535035560219193</v>
          </cell>
        </row>
        <row r="78">
          <cell r="A78" t="str">
            <v>TOTAL</v>
          </cell>
          <cell r="B78">
            <v>172.42431260513081</v>
          </cell>
          <cell r="C78">
            <v>163.87555398799722</v>
          </cell>
          <cell r="D78">
            <v>-8.5487586171335863</v>
          </cell>
          <cell r="F78">
            <v>69.927895720183443</v>
          </cell>
          <cell r="G78">
            <v>69.60809699170953</v>
          </cell>
          <cell r="H78">
            <v>-0.31979872847391277</v>
          </cell>
          <cell r="J78">
            <v>62.635994300537469</v>
          </cell>
          <cell r="K78">
            <v>61.373947623343923</v>
          </cell>
          <cell r="L78">
            <v>-1.2620466771935455</v>
          </cell>
          <cell r="N78">
            <v>43.159296019107607</v>
          </cell>
          <cell r="O78">
            <v>42.814676213061091</v>
          </cell>
          <cell r="P78">
            <v>-0.34461980604651643</v>
          </cell>
          <cell r="R78">
            <v>62.231876789173725</v>
          </cell>
          <cell r="S78">
            <v>61.085148358883721</v>
          </cell>
          <cell r="T78">
            <v>-1.146728430290004</v>
          </cell>
          <cell r="V78">
            <v>78.898175400018218</v>
          </cell>
          <cell r="W78">
            <v>77.490971262396499</v>
          </cell>
          <cell r="X78">
            <v>-1.4072041376217186</v>
          </cell>
          <cell r="Z78">
            <v>60.426871059398394</v>
          </cell>
        </row>
        <row r="82">
          <cell r="B82">
            <v>187.0910167332371</v>
          </cell>
          <cell r="F82">
            <v>70.21425381132569</v>
          </cell>
          <cell r="V82">
            <v>79.229224070539289</v>
          </cell>
          <cell r="Z82">
            <v>58.024412766122445</v>
          </cell>
        </row>
        <row r="100">
          <cell r="A100" t="str">
            <v>South Canterbury DHB</v>
          </cell>
          <cell r="B100">
            <v>269.42372881355931</v>
          </cell>
          <cell r="C100">
            <v>228.26</v>
          </cell>
          <cell r="D100">
            <v>-41.163728813559317</v>
          </cell>
          <cell r="F100">
            <v>70.234623330510246</v>
          </cell>
          <cell r="G100">
            <v>74.104137348719391</v>
          </cell>
          <cell r="H100">
            <v>3.869514018209145</v>
          </cell>
          <cell r="J100">
            <v>64.791225235651694</v>
          </cell>
          <cell r="K100">
            <v>63.190751445086704</v>
          </cell>
          <cell r="L100">
            <v>-1.6004737905649904</v>
          </cell>
          <cell r="N100">
            <v>38.926048726602041</v>
          </cell>
          <cell r="O100">
            <v>42.107142857142854</v>
          </cell>
          <cell r="P100">
            <v>3.1810941305408136</v>
          </cell>
          <cell r="R100">
            <v>60.947818941708505</v>
          </cell>
          <cell r="S100">
            <v>63.38095238095238</v>
          </cell>
          <cell r="T100">
            <v>2.4331334392438748</v>
          </cell>
          <cell r="V100">
            <v>78.647035415837649</v>
          </cell>
          <cell r="W100">
            <v>79.610492845786965</v>
          </cell>
          <cell r="X100">
            <v>0.96345742994931527</v>
          </cell>
          <cell r="Z100">
            <v>57.335370982073833</v>
          </cell>
        </row>
        <row r="101">
          <cell r="A101" t="str">
            <v>Tairawhiti DHB</v>
          </cell>
          <cell r="B101">
            <v>241.12458110293602</v>
          </cell>
          <cell r="C101">
            <v>230.40000666666666</v>
          </cell>
          <cell r="D101">
            <v>-10.724574436269364</v>
          </cell>
          <cell r="F101">
            <v>74.239503808763118</v>
          </cell>
          <cell r="G101">
            <v>74.987855870445316</v>
          </cell>
          <cell r="H101">
            <v>0.7483520616821977</v>
          </cell>
          <cell r="J101">
            <v>62.538530618998557</v>
          </cell>
          <cell r="K101">
            <v>61.434484827586203</v>
          </cell>
          <cell r="L101">
            <v>-1.1040457914123536</v>
          </cell>
          <cell r="N101">
            <v>48.366461358220583</v>
          </cell>
          <cell r="O101">
            <v>47.919069364161835</v>
          </cell>
          <cell r="P101">
            <v>-0.44739199405874785</v>
          </cell>
          <cell r="R101">
            <v>58.145723564010972</v>
          </cell>
          <cell r="S101">
            <v>59.258743356643365</v>
          </cell>
          <cell r="T101">
            <v>1.113019792632393</v>
          </cell>
          <cell r="V101">
            <v>85.80404376185291</v>
          </cell>
          <cell r="W101">
            <v>82.569004246284507</v>
          </cell>
          <cell r="X101">
            <v>-3.2350395155684026</v>
          </cell>
          <cell r="Z101">
            <v>59.750078577640807</v>
          </cell>
        </row>
        <row r="102">
          <cell r="A102" t="str">
            <v>Wairarapa DHB</v>
          </cell>
          <cell r="B102">
            <v>228.75548120316793</v>
          </cell>
          <cell r="C102">
            <v>241.5204678362573</v>
          </cell>
          <cell r="D102">
            <v>12.764986633089364</v>
          </cell>
          <cell r="F102">
            <v>74.385614479938027</v>
          </cell>
          <cell r="G102">
            <v>77.200441744892331</v>
          </cell>
          <cell r="H102">
            <v>2.8148272649543031</v>
          </cell>
          <cell r="J102">
            <v>67.111984282907656</v>
          </cell>
          <cell r="K102">
            <v>69.312431243124308</v>
          </cell>
          <cell r="L102">
            <v>2.2004469602166523</v>
          </cell>
          <cell r="N102">
            <v>50.096339113680152</v>
          </cell>
          <cell r="O102">
            <v>44.272727272727273</v>
          </cell>
          <cell r="P102">
            <v>-5.8236118409528785</v>
          </cell>
          <cell r="R102">
            <v>62.698312193316255</v>
          </cell>
          <cell r="S102">
            <v>66.666666666666671</v>
          </cell>
          <cell r="T102">
            <v>3.9683544733504164</v>
          </cell>
          <cell r="V102">
            <v>80.824445488622914</v>
          </cell>
          <cell r="W102">
            <v>85.009308820107037</v>
          </cell>
          <cell r="X102">
            <v>4.1848633314841237</v>
          </cell>
          <cell r="Z102">
            <v>63.849542902231534</v>
          </cell>
        </row>
        <row r="103">
          <cell r="A103" t="str">
            <v>West Coast DHB</v>
          </cell>
          <cell r="B103">
            <v>283.5303688076728</v>
          </cell>
          <cell r="C103">
            <v>256.76030741565341</v>
          </cell>
          <cell r="D103">
            <v>-26.770061392019386</v>
          </cell>
          <cell r="F103">
            <v>75.233466581166155</v>
          </cell>
          <cell r="G103">
            <v>71.912567831784045</v>
          </cell>
          <cell r="H103">
            <v>-3.3208987493821098</v>
          </cell>
          <cell r="J103">
            <v>55.322544234289197</v>
          </cell>
          <cell r="K103">
            <v>58.620770220292641</v>
          </cell>
          <cell r="L103">
            <v>3.2982259860034446</v>
          </cell>
          <cell r="N103">
            <v>43.000833244311508</v>
          </cell>
          <cell r="O103">
            <v>43.81513355998058</v>
          </cell>
          <cell r="P103">
            <v>0.81430031566907246</v>
          </cell>
          <cell r="R103">
            <v>57.679413194044855</v>
          </cell>
          <cell r="S103">
            <v>59.165629264861067</v>
          </cell>
          <cell r="T103">
            <v>1.4862160708162122</v>
          </cell>
          <cell r="V103">
            <v>75.982891274450978</v>
          </cell>
          <cell r="W103">
            <v>74.406477128320347</v>
          </cell>
          <cell r="X103">
            <v>-1.5764141461306309</v>
          </cell>
          <cell r="Z103">
            <v>54.587440444073522</v>
          </cell>
        </row>
        <row r="104">
          <cell r="A104" t="str">
            <v>Whanganui DHB</v>
          </cell>
          <cell r="B104">
            <v>212.78059150878508</v>
          </cell>
          <cell r="C104">
            <v>235.65620893561101</v>
          </cell>
          <cell r="D104">
            <v>22.875617426825926</v>
          </cell>
          <cell r="F104">
            <v>69.158158747678243</v>
          </cell>
          <cell r="G104">
            <v>66.334747013144693</v>
          </cell>
          <cell r="H104">
            <v>-2.8234117345335505</v>
          </cell>
          <cell r="J104">
            <v>66.60022545001938</v>
          </cell>
          <cell r="K104">
            <v>62.767494433396216</v>
          </cell>
          <cell r="L104">
            <v>-3.8327310166231641</v>
          </cell>
          <cell r="N104">
            <v>40.814817943735747</v>
          </cell>
          <cell r="O104">
            <v>35.567079440296837</v>
          </cell>
          <cell r="P104">
            <v>-5.2477385034389101</v>
          </cell>
          <cell r="R104">
            <v>56.01691877709208</v>
          </cell>
          <cell r="S104">
            <v>55.228264897549693</v>
          </cell>
          <cell r="T104">
            <v>-0.78865387954238741</v>
          </cell>
          <cell r="V104">
            <v>79.267900440397824</v>
          </cell>
          <cell r="W104">
            <v>79.155535572791806</v>
          </cell>
          <cell r="X104">
            <v>-0.11236486760601849</v>
          </cell>
          <cell r="Z104">
            <v>59.412605451931817</v>
          </cell>
        </row>
        <row r="105">
          <cell r="A105" t="str">
            <v>Medium</v>
          </cell>
        </row>
        <row r="106">
          <cell r="A106" t="str">
            <v>Bay of Plenty DHB</v>
          </cell>
          <cell r="B106">
            <v>188.2348484848485</v>
          </cell>
          <cell r="C106">
            <v>187.22264150943397</v>
          </cell>
          <cell r="D106">
            <v>-1.0122069754145286</v>
          </cell>
          <cell r="F106">
            <v>71.726753484121545</v>
          </cell>
          <cell r="G106">
            <v>72.426706827309232</v>
          </cell>
          <cell r="H106">
            <v>0.69995334318768698</v>
          </cell>
          <cell r="J106">
            <v>63.751740139211137</v>
          </cell>
          <cell r="K106">
            <v>61.61967336211751</v>
          </cell>
          <cell r="L106">
            <v>-2.1320667770936268</v>
          </cell>
          <cell r="N106">
            <v>42.92956779051994</v>
          </cell>
          <cell r="O106">
            <v>41.917336394948336</v>
          </cell>
          <cell r="P106">
            <v>-1.0122313955716038</v>
          </cell>
          <cell r="R106">
            <v>59.889042682144904</v>
          </cell>
          <cell r="S106">
            <v>56.638449770525241</v>
          </cell>
          <cell r="T106">
            <v>-3.2505929116196626</v>
          </cell>
          <cell r="V106">
            <v>79.006301932627593</v>
          </cell>
          <cell r="W106">
            <v>78.175616009115501</v>
          </cell>
          <cell r="X106">
            <v>-0.83068592351209247</v>
          </cell>
          <cell r="Z106">
            <v>59.083601362908198</v>
          </cell>
        </row>
        <row r="107">
          <cell r="A107" t="str">
            <v>Hawke's Bay DHB</v>
          </cell>
          <cell r="B107">
            <v>149.89691059865231</v>
          </cell>
          <cell r="C107">
            <v>151.20292503568317</v>
          </cell>
          <cell r="D107">
            <v>1.3060144370308535</v>
          </cell>
          <cell r="F107">
            <v>70.625073951355361</v>
          </cell>
          <cell r="G107">
            <v>73.401748744871739</v>
          </cell>
          <cell r="H107">
            <v>2.7766747935163778</v>
          </cell>
          <cell r="J107">
            <v>63.652363462192902</v>
          </cell>
          <cell r="K107">
            <v>62.433554495266577</v>
          </cell>
          <cell r="L107">
            <v>-1.2188089669263249</v>
          </cell>
          <cell r="N107">
            <v>43.939334255168468</v>
          </cell>
          <cell r="O107">
            <v>43.23412977096806</v>
          </cell>
          <cell r="P107">
            <v>-0.70520448420040793</v>
          </cell>
          <cell r="R107">
            <v>58.432526914477556</v>
          </cell>
          <cell r="S107">
            <v>59.595845363895464</v>
          </cell>
          <cell r="T107">
            <v>1.1633184494179076</v>
          </cell>
          <cell r="V107">
            <v>75.094800356632646</v>
          </cell>
          <cell r="W107">
            <v>75.706928893289714</v>
          </cell>
          <cell r="X107">
            <v>0.61212853665706746</v>
          </cell>
          <cell r="Z107">
            <v>58.350602389785756</v>
          </cell>
        </row>
        <row r="108">
          <cell r="A108" t="str">
            <v>Hutt Valley DHB</v>
          </cell>
          <cell r="B108">
            <v>181.90256291849457</v>
          </cell>
          <cell r="C108">
            <v>171.54244902660983</v>
          </cell>
          <cell r="D108">
            <v>-10.360113891884737</v>
          </cell>
          <cell r="F108">
            <v>77.63305745164503</v>
          </cell>
          <cell r="G108">
            <v>72.049786792670275</v>
          </cell>
          <cell r="H108">
            <v>-5.5832706589747545</v>
          </cell>
          <cell r="J108">
            <v>66.846904876679204</v>
          </cell>
          <cell r="K108">
            <v>62.246141669964381</v>
          </cell>
          <cell r="L108">
            <v>-4.6007632067148236</v>
          </cell>
          <cell r="N108">
            <v>44.023519677203453</v>
          </cell>
          <cell r="O108">
            <v>41.73378839590444</v>
          </cell>
          <cell r="P108">
            <v>-2.2897312812990123</v>
          </cell>
          <cell r="R108">
            <v>60.701137425133247</v>
          </cell>
          <cell r="S108">
            <v>59.317306302245882</v>
          </cell>
          <cell r="T108">
            <v>-1.383831122887365</v>
          </cell>
          <cell r="V108">
            <v>82.191071656058227</v>
          </cell>
          <cell r="W108">
            <v>76.727091426331825</v>
          </cell>
          <cell r="X108">
            <v>-5.4639802297264026</v>
          </cell>
          <cell r="Z108">
            <v>61.002624017943447</v>
          </cell>
        </row>
        <row r="109">
          <cell r="A109" t="str">
            <v>Lakes DHB</v>
          </cell>
          <cell r="B109">
            <v>185.02491995522249</v>
          </cell>
          <cell r="C109">
            <v>192.83681381103523</v>
          </cell>
          <cell r="D109">
            <v>7.8118938558127411</v>
          </cell>
          <cell r="F109">
            <v>72.337271552403607</v>
          </cell>
          <cell r="G109">
            <v>70.46933273058977</v>
          </cell>
          <cell r="H109">
            <v>-1.8679388218138371</v>
          </cell>
          <cell r="J109">
            <v>68.86938165272548</v>
          </cell>
          <cell r="K109">
            <v>70.162837050129738</v>
          </cell>
          <cell r="L109">
            <v>1.2934553974042586</v>
          </cell>
          <cell r="N109">
            <v>42.953276731092771</v>
          </cell>
          <cell r="O109">
            <v>46.044591246903387</v>
          </cell>
          <cell r="P109">
            <v>3.0913145158106161</v>
          </cell>
          <cell r="R109">
            <v>61.492521542620345</v>
          </cell>
          <cell r="S109">
            <v>61.452090427235355</v>
          </cell>
          <cell r="T109">
            <v>-4.0431115384990335E-2</v>
          </cell>
          <cell r="V109">
            <v>81.237290228922177</v>
          </cell>
          <cell r="W109">
            <v>83.859781732039252</v>
          </cell>
          <cell r="X109">
            <v>2.6224915031170752</v>
          </cell>
          <cell r="Z109">
            <v>61.882929550741885</v>
          </cell>
        </row>
        <row r="110">
          <cell r="A110" t="str">
            <v>MidCentral DHB</v>
          </cell>
          <cell r="B110">
            <v>182.20016073370206</v>
          </cell>
          <cell r="C110">
            <v>167.59375197032347</v>
          </cell>
          <cell r="D110">
            <v>-14.606408763378596</v>
          </cell>
          <cell r="F110">
            <v>72.766515456148824</v>
          </cell>
          <cell r="G110">
            <v>71.655805424015924</v>
          </cell>
          <cell r="H110">
            <v>-1.1107100321329</v>
          </cell>
          <cell r="J110">
            <v>65.70202940157138</v>
          </cell>
          <cell r="K110">
            <v>59.548820968062358</v>
          </cell>
          <cell r="L110">
            <v>-6.1532084335090218</v>
          </cell>
          <cell r="N110">
            <v>39.339067245218068</v>
          </cell>
          <cell r="O110">
            <v>26.084769975987644</v>
          </cell>
          <cell r="P110">
            <v>-13.254297269230424</v>
          </cell>
          <cell r="R110">
            <v>57.640844696204823</v>
          </cell>
          <cell r="S110">
            <v>57.059234625214863</v>
          </cell>
          <cell r="T110">
            <v>-0.58161007098996009</v>
          </cell>
          <cell r="V110">
            <v>81.154068660788511</v>
          </cell>
          <cell r="W110">
            <v>77.720777508555884</v>
          </cell>
          <cell r="X110">
            <v>-3.433291152232627</v>
          </cell>
          <cell r="Z110">
            <v>60.132858597278705</v>
          </cell>
        </row>
        <row r="111">
          <cell r="A111" t="str">
            <v>Nelson Marlborough DHB</v>
          </cell>
          <cell r="B111">
            <v>218.96357951923301</v>
          </cell>
          <cell r="C111">
            <v>229.42095565575627</v>
          </cell>
          <cell r="D111">
            <v>10.457376136523266</v>
          </cell>
          <cell r="F111">
            <v>75.758282514587151</v>
          </cell>
          <cell r="G111">
            <v>75.042031933188468</v>
          </cell>
          <cell r="H111">
            <v>-0.71625058139868258</v>
          </cell>
          <cell r="J111">
            <v>55.899874268804517</v>
          </cell>
          <cell r="K111">
            <v>57.523152614622347</v>
          </cell>
          <cell r="L111">
            <v>1.6232783458178304</v>
          </cell>
          <cell r="N111">
            <v>44.986715435588181</v>
          </cell>
          <cell r="O111">
            <v>46.40333587482597</v>
          </cell>
          <cell r="P111">
            <v>1.4166204392377892</v>
          </cell>
          <cell r="R111">
            <v>59.998874221502945</v>
          </cell>
          <cell r="S111">
            <v>60.903093936500632</v>
          </cell>
          <cell r="T111">
            <v>0.90421971499768716</v>
          </cell>
          <cell r="V111">
            <v>77.791782362125204</v>
          </cell>
          <cell r="W111">
            <v>78.336162459409167</v>
          </cell>
          <cell r="X111">
            <v>0.54438009728396253</v>
          </cell>
          <cell r="Z111">
            <v>56.303646444264963</v>
          </cell>
        </row>
        <row r="112">
          <cell r="A112" t="str">
            <v>Northland DHB</v>
          </cell>
          <cell r="B112">
            <v>212.1027065310515</v>
          </cell>
          <cell r="C112">
            <v>185.92973750503683</v>
          </cell>
          <cell r="D112">
            <v>-26.17296902601467</v>
          </cell>
          <cell r="F112">
            <v>71.268026832928143</v>
          </cell>
          <cell r="G112">
            <v>73.152778897055597</v>
          </cell>
          <cell r="H112">
            <v>1.8847520641274542</v>
          </cell>
          <cell r="J112">
            <v>66.209495624439654</v>
          </cell>
          <cell r="K112">
            <v>66.738337238834688</v>
          </cell>
          <cell r="L112">
            <v>0.5288416143950343</v>
          </cell>
          <cell r="N112">
            <v>44.536442471882417</v>
          </cell>
          <cell r="O112">
            <v>42.543189372482225</v>
          </cell>
          <cell r="P112">
            <v>-1.9932530994001922</v>
          </cell>
          <cell r="R112">
            <v>60.038957195935517</v>
          </cell>
          <cell r="S112">
            <v>59.652367539817085</v>
          </cell>
          <cell r="T112">
            <v>-0.38658965611843144</v>
          </cell>
          <cell r="V112">
            <v>80.570610453203926</v>
          </cell>
          <cell r="W112">
            <v>79.589646611508485</v>
          </cell>
          <cell r="X112">
            <v>-0.98096384169544137</v>
          </cell>
          <cell r="Z112">
            <v>61.571273610483829</v>
          </cell>
        </row>
        <row r="113">
          <cell r="A113" t="str">
            <v>Taranaki DHB</v>
          </cell>
          <cell r="B113">
            <v>177.70481288771791</v>
          </cell>
          <cell r="C113">
            <v>167.85416666666666</v>
          </cell>
          <cell r="D113">
            <v>-9.8506462210512495</v>
          </cell>
          <cell r="F113">
            <v>71.790619251880614</v>
          </cell>
          <cell r="G113">
            <v>71.202332321584549</v>
          </cell>
          <cell r="H113">
            <v>-0.58828693029606427</v>
          </cell>
          <cell r="J113">
            <v>62.46528935899498</v>
          </cell>
          <cell r="K113">
            <v>61.465384615384615</v>
          </cell>
          <cell r="L113">
            <v>-0.99990474361036519</v>
          </cell>
          <cell r="N113">
            <v>41.265489589072239</v>
          </cell>
          <cell r="O113">
            <v>45.52747669665537</v>
          </cell>
          <cell r="P113">
            <v>4.2619871075831313</v>
          </cell>
          <cell r="R113">
            <v>70.199322471688518</v>
          </cell>
          <cell r="S113">
            <v>55.911439114391143</v>
          </cell>
          <cell r="T113">
            <v>-14.287883357297375</v>
          </cell>
          <cell r="V113">
            <v>78.789291290076321</v>
          </cell>
          <cell r="W113">
            <v>75.035155761489861</v>
          </cell>
          <cell r="X113">
            <v>-3.7541355285864597</v>
          </cell>
          <cell r="Z113">
            <v>62.327433997890019</v>
          </cell>
        </row>
        <row r="114">
          <cell r="A114" t="str">
            <v>Large</v>
          </cell>
        </row>
        <row r="115">
          <cell r="A115" t="str">
            <v>Auckland DHB</v>
          </cell>
          <cell r="B115">
            <v>178.63372348404718</v>
          </cell>
          <cell r="C115">
            <v>168.90587935934758</v>
          </cell>
          <cell r="D115">
            <v>-9.727844124699601</v>
          </cell>
          <cell r="F115">
            <v>72.807223810581917</v>
          </cell>
          <cell r="G115">
            <v>74.581652825953199</v>
          </cell>
          <cell r="H115">
            <v>1.7744290153712825</v>
          </cell>
          <cell r="J115">
            <v>68.976744199480663</v>
          </cell>
          <cell r="K115">
            <v>70.138371825797506</v>
          </cell>
          <cell r="L115">
            <v>1.161627626316843</v>
          </cell>
          <cell r="N115">
            <v>40.503007303986749</v>
          </cell>
          <cell r="O115">
            <v>40.66452072757253</v>
          </cell>
          <cell r="P115">
            <v>0.16151342358578091</v>
          </cell>
          <cell r="R115">
            <v>82.156086077412766</v>
          </cell>
          <cell r="S115">
            <v>84.615824860284405</v>
          </cell>
          <cell r="T115">
            <v>2.4597387828716393</v>
          </cell>
          <cell r="V115">
            <v>90.349586498753752</v>
          </cell>
          <cell r="W115">
            <v>90.873756647162963</v>
          </cell>
          <cell r="X115">
            <v>0.52417014840921183</v>
          </cell>
          <cell r="Z115">
            <v>72.640398777899307</v>
          </cell>
        </row>
        <row r="116">
          <cell r="A116" t="str">
            <v>Canterbury DHB</v>
          </cell>
          <cell r="B116">
            <v>176.07600107696442</v>
          </cell>
          <cell r="C116">
            <v>169.0160891089109</v>
          </cell>
          <cell r="D116">
            <v>-7.0599119680535125</v>
          </cell>
          <cell r="F116">
            <v>69.14985000157651</v>
          </cell>
          <cell r="G116">
            <v>67.052793124616329</v>
          </cell>
          <cell r="H116">
            <v>-2.0970568769601812</v>
          </cell>
          <cell r="J116">
            <v>63.603443230133209</v>
          </cell>
          <cell r="K116">
            <v>65.924499229583972</v>
          </cell>
          <cell r="L116">
            <v>2.3210559994507634</v>
          </cell>
          <cell r="N116">
            <v>44.241379457225428</v>
          </cell>
          <cell r="O116">
            <v>42.696969696969695</v>
          </cell>
          <cell r="P116">
            <v>-1.5444097602557321</v>
          </cell>
          <cell r="R116">
            <v>55.199950099330415</v>
          </cell>
          <cell r="S116">
            <v>55.015375231899156</v>
          </cell>
          <cell r="T116">
            <v>-0.18457486743125884</v>
          </cell>
          <cell r="V116">
            <v>77.179442536054694</v>
          </cell>
          <cell r="W116">
            <v>75.746586625388986</v>
          </cell>
          <cell r="X116">
            <v>-1.4328559106657082</v>
          </cell>
          <cell r="Z116">
            <v>57.935110655423635</v>
          </cell>
        </row>
        <row r="117">
          <cell r="A117" t="str">
            <v>Capital &amp; Coast DHB</v>
          </cell>
          <cell r="B117">
            <v>151.09976334690012</v>
          </cell>
          <cell r="C117">
            <v>161.05314150587631</v>
          </cell>
          <cell r="D117">
            <v>9.9533781589761929</v>
          </cell>
          <cell r="F117">
            <v>73.033449077136439</v>
          </cell>
          <cell r="G117">
            <v>77.408882103113726</v>
          </cell>
          <cell r="H117">
            <v>4.3754330259772871</v>
          </cell>
          <cell r="J117">
            <v>66.829434188405074</v>
          </cell>
          <cell r="K117">
            <v>69.181043167594339</v>
          </cell>
          <cell r="L117">
            <v>2.3516089791892654</v>
          </cell>
          <cell r="N117">
            <v>42.30564041798683</v>
          </cell>
          <cell r="O117">
            <v>51.135294117647057</v>
          </cell>
          <cell r="P117">
            <v>8.8296536996602271</v>
          </cell>
          <cell r="R117">
            <v>59.263610918557696</v>
          </cell>
          <cell r="S117">
            <v>65.636512125217791</v>
          </cell>
          <cell r="T117">
            <v>6.3729012066600959</v>
          </cell>
          <cell r="V117">
            <v>80.747637121316131</v>
          </cell>
          <cell r="W117">
            <v>86.164281132442326</v>
          </cell>
          <cell r="X117">
            <v>5.4166440111261949</v>
          </cell>
          <cell r="Z117">
            <v>60.580407782490312</v>
          </cell>
        </row>
        <row r="118">
          <cell r="A118" t="str">
            <v>Counties Manukau DHB</v>
          </cell>
          <cell r="B118">
            <v>156.99516908212561</v>
          </cell>
          <cell r="C118">
            <v>154.41377404693617</v>
          </cell>
          <cell r="D118">
            <v>-2.5813950351894448</v>
          </cell>
          <cell r="F118">
            <v>69.967666128239728</v>
          </cell>
          <cell r="G118">
            <v>73.007444342010345</v>
          </cell>
          <cell r="H118">
            <v>3.0397782137706173</v>
          </cell>
          <cell r="J118">
            <v>63.391626921038686</v>
          </cell>
          <cell r="K118">
            <v>65.685043308732361</v>
          </cell>
          <cell r="L118">
            <v>2.2934163876936751</v>
          </cell>
          <cell r="N118">
            <v>45.62643290627107</v>
          </cell>
          <cell r="O118">
            <v>48.314890532182368</v>
          </cell>
          <cell r="P118">
            <v>2.6884576259112976</v>
          </cell>
          <cell r="R118">
            <v>70.759246378299494</v>
          </cell>
          <cell r="S118">
            <v>69.060089401084682</v>
          </cell>
          <cell r="T118">
            <v>-1.6991569772148125</v>
          </cell>
          <cell r="V118">
            <v>80.829118411723002</v>
          </cell>
          <cell r="W118">
            <v>82.917881372418918</v>
          </cell>
          <cell r="X118">
            <v>2.0887629606959166</v>
          </cell>
          <cell r="Z118">
            <v>62.973321044439807</v>
          </cell>
        </row>
        <row r="119">
          <cell r="A119" t="str">
            <v>Southern DHB</v>
          </cell>
          <cell r="B119">
            <v>205.14735427138598</v>
          </cell>
          <cell r="C119">
            <v>198.43947467184037</v>
          </cell>
          <cell r="D119">
            <v>-6.7078795995456062</v>
          </cell>
          <cell r="F119">
            <v>73.781255666823796</v>
          </cell>
          <cell r="G119">
            <v>72.687406274625033</v>
          </cell>
          <cell r="H119">
            <v>-1.0938493921987629</v>
          </cell>
          <cell r="J119">
            <v>66.471934498345121</v>
          </cell>
          <cell r="K119">
            <v>64.267069826003848</v>
          </cell>
          <cell r="L119">
            <v>-2.204864672341273</v>
          </cell>
          <cell r="N119">
            <v>45.604573498342752</v>
          </cell>
          <cell r="O119">
            <v>43.449403136248648</v>
          </cell>
          <cell r="P119">
            <v>-2.1551703620941041</v>
          </cell>
          <cell r="R119">
            <v>57.269114280883734</v>
          </cell>
          <cell r="S119">
            <v>58.669216641193387</v>
          </cell>
          <cell r="T119">
            <v>1.4001023603096527</v>
          </cell>
          <cell r="V119">
            <v>83.669623680526357</v>
          </cell>
          <cell r="W119">
            <v>82.798904552355836</v>
          </cell>
          <cell r="X119">
            <v>-0.87071912817052066</v>
          </cell>
          <cell r="Z119">
            <v>60.013882310501089</v>
          </cell>
        </row>
        <row r="120">
          <cell r="A120" t="str">
            <v>Waikato DHB</v>
          </cell>
          <cell r="B120">
            <v>193.79157796700375</v>
          </cell>
          <cell r="C120">
            <v>191.37153384564553</v>
          </cell>
          <cell r="D120">
            <v>-2.4200441213582167</v>
          </cell>
          <cell r="F120">
            <v>75.198280409828413</v>
          </cell>
          <cell r="G120">
            <v>71.400067410153284</v>
          </cell>
          <cell r="H120">
            <v>-3.7982129996751297</v>
          </cell>
          <cell r="J120">
            <v>65.298593111918905</v>
          </cell>
          <cell r="K120">
            <v>63.615008239442943</v>
          </cell>
          <cell r="L120">
            <v>-1.6835848724759614</v>
          </cell>
          <cell r="N120">
            <v>42.621365192179155</v>
          </cell>
          <cell r="O120">
            <v>41.903248114326928</v>
          </cell>
          <cell r="P120">
            <v>-0.71811707785222723</v>
          </cell>
          <cell r="R120">
            <v>58.215620162018929</v>
          </cell>
          <cell r="S120">
            <v>59.908220085373436</v>
          </cell>
          <cell r="T120">
            <v>1.692599923354507</v>
          </cell>
          <cell r="V120">
            <v>82.24841081043941</v>
          </cell>
          <cell r="W120">
            <v>80.820349623421365</v>
          </cell>
          <cell r="X120">
            <v>-1.4280611870180451</v>
          </cell>
          <cell r="Z120">
            <v>58.823698852474962</v>
          </cell>
        </row>
        <row r="121">
          <cell r="A121" t="str">
            <v>Waitemata DHB</v>
          </cell>
          <cell r="B121">
            <v>165.36952547079022</v>
          </cell>
          <cell r="C121">
            <v>155.88075521695924</v>
          </cell>
          <cell r="D121">
            <v>-9.4887702538309782</v>
          </cell>
          <cell r="F121">
            <v>73.698209327472767</v>
          </cell>
          <cell r="G121">
            <v>72.63027118111583</v>
          </cell>
          <cell r="H121">
            <v>-1.0679381463569371</v>
          </cell>
          <cell r="J121">
            <v>65.98540376470774</v>
          </cell>
          <cell r="K121">
            <v>63.625120772946858</v>
          </cell>
          <cell r="L121">
            <v>-2.360282991760883</v>
          </cell>
          <cell r="N121">
            <v>48.250305301722321</v>
          </cell>
          <cell r="O121">
            <v>46.572428271518547</v>
          </cell>
          <cell r="P121">
            <v>-1.6778770302037742</v>
          </cell>
          <cell r="R121">
            <v>69.508541200257781</v>
          </cell>
          <cell r="S121">
            <v>66.588908180982543</v>
          </cell>
          <cell r="T121">
            <v>-2.9196330192752384</v>
          </cell>
          <cell r="V121">
            <v>82.760130757717633</v>
          </cell>
          <cell r="W121">
            <v>80.744740867036072</v>
          </cell>
          <cell r="X121">
            <v>-2.0153898906815613</v>
          </cell>
          <cell r="Z121">
            <v>66.338404719531141</v>
          </cell>
        </row>
        <row r="122">
          <cell r="A122" t="str">
            <v>TOTAL</v>
          </cell>
          <cell r="B122">
            <v>178.48421395463976</v>
          </cell>
          <cell r="C122">
            <v>173.53405053133861</v>
          </cell>
          <cell r="D122">
            <v>-4.9501634233011487</v>
          </cell>
          <cell r="F122">
            <v>72.384436077473879</v>
          </cell>
          <cell r="G122">
            <v>72.349252552746918</v>
          </cell>
          <cell r="H122">
            <v>-3.5183524726960513E-2</v>
          </cell>
          <cell r="J122">
            <v>65.099564985592934</v>
          </cell>
          <cell r="K122">
            <v>64.929052251872761</v>
          </cell>
          <cell r="L122">
            <v>-0.17051273372017306</v>
          </cell>
          <cell r="N122">
            <v>43.706619974272698</v>
          </cell>
          <cell r="O122">
            <v>43.960076138233404</v>
          </cell>
          <cell r="P122">
            <v>0.25345616396070625</v>
          </cell>
          <cell r="R122">
            <v>63.534538000881497</v>
          </cell>
          <cell r="S122">
            <v>63.715125520002545</v>
          </cell>
          <cell r="T122">
            <v>0.18058751912104754</v>
          </cell>
          <cell r="V122">
            <v>81.761592959826118</v>
          </cell>
          <cell r="W122">
            <v>81.489959823067593</v>
          </cell>
          <cell r="X122">
            <v>-0.27163313675852407</v>
          </cell>
          <cell r="Z122">
            <v>62.102502985875859</v>
          </cell>
        </row>
        <row r="144">
          <cell r="A144" t="str">
            <v>South Canterbury DHB</v>
          </cell>
          <cell r="B144">
            <v>277.84936252417214</v>
          </cell>
          <cell r="C144">
            <v>268.26530612244898</v>
          </cell>
          <cell r="D144">
            <v>-9.58405640172316</v>
          </cell>
          <cell r="F144">
            <v>71.303857575843665</v>
          </cell>
          <cell r="G144">
            <v>75.156862745098039</v>
          </cell>
          <cell r="H144">
            <v>3.8530051692543736</v>
          </cell>
          <cell r="J144">
            <v>67.787798408488058</v>
          </cell>
          <cell r="K144">
            <v>66.883495145631073</v>
          </cell>
          <cell r="L144">
            <v>-0.9043032628569847</v>
          </cell>
          <cell r="N144">
            <v>40.549951114298764</v>
          </cell>
          <cell r="O144">
            <v>42.589285714285715</v>
          </cell>
          <cell r="P144">
            <v>2.039334599986951</v>
          </cell>
          <cell r="R144">
            <v>63.811210738020428</v>
          </cell>
          <cell r="S144">
            <v>64.732844770153235</v>
          </cell>
          <cell r="T144">
            <v>0.92163403213280759</v>
          </cell>
          <cell r="V144">
            <v>82.85863288746134</v>
          </cell>
          <cell r="W144">
            <v>83.735558742991259</v>
          </cell>
          <cell r="X144">
            <v>0.87692585552991886</v>
          </cell>
          <cell r="Z144">
            <v>60.30863789619071</v>
          </cell>
        </row>
        <row r="145">
          <cell r="A145" t="str">
            <v>Tairawhiti DHB</v>
          </cell>
          <cell r="B145">
            <v>250.85873721788153</v>
          </cell>
          <cell r="C145">
            <v>247.28197529069766</v>
          </cell>
          <cell r="D145">
            <v>-3.5767619271838669</v>
          </cell>
          <cell r="F145">
            <v>73.051359444785902</v>
          </cell>
          <cell r="G145">
            <v>76.302042040816346</v>
          </cell>
          <cell r="H145">
            <v>3.250682596030444</v>
          </cell>
          <cell r="J145">
            <v>63.798608543676274</v>
          </cell>
          <cell r="K145">
            <v>63.413333333333334</v>
          </cell>
          <cell r="L145">
            <v>-0.38527521034293954</v>
          </cell>
          <cell r="N145">
            <v>46.519798529444827</v>
          </cell>
          <cell r="O145">
            <v>47.888894444444446</v>
          </cell>
          <cell r="P145">
            <v>1.3690959149996189</v>
          </cell>
          <cell r="R145">
            <v>62.939608644638732</v>
          </cell>
          <cell r="S145">
            <v>60.803031060606052</v>
          </cell>
          <cell r="T145">
            <v>-2.1365775840326791</v>
          </cell>
          <cell r="V145">
            <v>87.871093114330037</v>
          </cell>
          <cell r="W145">
            <v>88.150864125122197</v>
          </cell>
          <cell r="X145">
            <v>0.27977101079216027</v>
          </cell>
          <cell r="Z145">
            <v>62.389462638351681</v>
          </cell>
        </row>
        <row r="146">
          <cell r="A146" t="str">
            <v>Wairarapa DHB</v>
          </cell>
          <cell r="B146">
            <v>216.86011842853378</v>
          </cell>
          <cell r="C146">
            <v>235.56901425473197</v>
          </cell>
          <cell r="D146">
            <v>18.708895826198187</v>
          </cell>
          <cell r="F146">
            <v>74.239273219106025</v>
          </cell>
          <cell r="G146">
            <v>72.268105530009947</v>
          </cell>
          <cell r="H146">
            <v>-1.9711676890960774</v>
          </cell>
          <cell r="J146">
            <v>67.738436381886771</v>
          </cell>
          <cell r="K146">
            <v>62.308650999405764</v>
          </cell>
          <cell r="L146">
            <v>-5.4297853824810076</v>
          </cell>
          <cell r="N146">
            <v>50.886726483845145</v>
          </cell>
          <cell r="O146">
            <v>43.389899995607429</v>
          </cell>
          <cell r="P146">
            <v>-7.4968264882377156</v>
          </cell>
          <cell r="R146">
            <v>62.361174360356507</v>
          </cell>
          <cell r="S146">
            <v>59.651941404972433</v>
          </cell>
          <cell r="T146">
            <v>-2.7092329553840742</v>
          </cell>
          <cell r="V146">
            <v>81.009634142136719</v>
          </cell>
          <cell r="W146">
            <v>79.669356876735577</v>
          </cell>
          <cell r="X146">
            <v>-1.3402772654011414</v>
          </cell>
          <cell r="Z146">
            <v>64.067810992886066</v>
          </cell>
        </row>
        <row r="147">
          <cell r="A147" t="str">
            <v>West Coast DHB</v>
          </cell>
          <cell r="B147">
            <v>279.98231690630064</v>
          </cell>
          <cell r="C147">
            <v>252.48091436865025</v>
          </cell>
          <cell r="D147">
            <v>-27.501402537650392</v>
          </cell>
          <cell r="F147">
            <v>75.892246029489613</v>
          </cell>
          <cell r="G147">
            <v>72.691492167142826</v>
          </cell>
          <cell r="H147">
            <v>-3.2007538623467866</v>
          </cell>
          <cell r="J147">
            <v>56.173692542570727</v>
          </cell>
          <cell r="K147">
            <v>56.892150323863277</v>
          </cell>
          <cell r="L147">
            <v>0.71845778129254967</v>
          </cell>
          <cell r="N147">
            <v>44.809816056349526</v>
          </cell>
          <cell r="O147">
            <v>44.639525782688771</v>
          </cell>
          <cell r="P147">
            <v>-0.17029027366075411</v>
          </cell>
          <cell r="R147">
            <v>56.315042698875295</v>
          </cell>
          <cell r="S147">
            <v>57.164530046224961</v>
          </cell>
          <cell r="T147">
            <v>0.84948734734966536</v>
          </cell>
          <cell r="V147">
            <v>76.839301413181843</v>
          </cell>
          <cell r="W147">
            <v>75.041004413900211</v>
          </cell>
          <cell r="X147">
            <v>-1.7982969992816322</v>
          </cell>
          <cell r="Z147">
            <v>54.647928924210078</v>
          </cell>
        </row>
        <row r="148">
          <cell r="A148" t="str">
            <v>Whanganui DHB</v>
          </cell>
          <cell r="B148">
            <v>208.80613107206341</v>
          </cell>
          <cell r="C148">
            <v>224.36953703316465</v>
          </cell>
          <cell r="D148">
            <v>15.563405961101239</v>
          </cell>
          <cell r="F148">
            <v>70.665425793577015</v>
          </cell>
          <cell r="G148">
            <v>70.847631136196171</v>
          </cell>
          <cell r="H148">
            <v>0.18220534261915589</v>
          </cell>
          <cell r="J148">
            <v>67.99333710003522</v>
          </cell>
          <cell r="K148">
            <v>72.055018468554294</v>
          </cell>
          <cell r="L148">
            <v>4.0616813685190749</v>
          </cell>
          <cell r="N148">
            <v>43.231043487267833</v>
          </cell>
          <cell r="O148">
            <v>41.827735034715708</v>
          </cell>
          <cell r="P148">
            <v>-1.4033084525521247</v>
          </cell>
          <cell r="R148">
            <v>57.96888298312011</v>
          </cell>
          <cell r="S148">
            <v>60.167243757294017</v>
          </cell>
          <cell r="T148">
            <v>2.1983607741739064</v>
          </cell>
          <cell r="V148">
            <v>81.577819548778677</v>
          </cell>
          <cell r="W148">
            <v>83.903396972376839</v>
          </cell>
          <cell r="X148">
            <v>2.3255774235981619</v>
          </cell>
          <cell r="Z148">
            <v>61.153335272550123</v>
          </cell>
        </row>
        <row r="149">
          <cell r="A149" t="str">
            <v>Medium</v>
          </cell>
        </row>
        <row r="150">
          <cell r="A150" t="str">
            <v>Bay of Plenty DHB</v>
          </cell>
          <cell r="B150">
            <v>193.9814814814815</v>
          </cell>
          <cell r="C150">
            <v>194.18346409173202</v>
          </cell>
          <cell r="D150">
            <v>0.20198261025052489</v>
          </cell>
          <cell r="F150">
            <v>73.29757554899102</v>
          </cell>
          <cell r="G150">
            <v>73.161068889433679</v>
          </cell>
          <cell r="H150">
            <v>-0.13650665955734098</v>
          </cell>
          <cell r="J150">
            <v>64.769325912183049</v>
          </cell>
          <cell r="K150">
            <v>65.073903002309464</v>
          </cell>
          <cell r="L150">
            <v>0.30457709012641487</v>
          </cell>
          <cell r="N150">
            <v>43.893986480478667</v>
          </cell>
          <cell r="O150">
            <v>42.334733053389328</v>
          </cell>
          <cell r="P150">
            <v>-1.5592534270893381</v>
          </cell>
          <cell r="R150">
            <v>60.247025495750705</v>
          </cell>
          <cell r="S150">
            <v>58.071073467133125</v>
          </cell>
          <cell r="T150">
            <v>-2.17595202861758</v>
          </cell>
          <cell r="V150">
            <v>81.644694186297812</v>
          </cell>
          <cell r="W150">
            <v>81.266870174178479</v>
          </cell>
          <cell r="X150">
            <v>-0.37782401211933347</v>
          </cell>
          <cell r="Z150">
            <v>59.805863452680448</v>
          </cell>
        </row>
        <row r="151">
          <cell r="A151" t="str">
            <v>Hawke's Bay DHB</v>
          </cell>
          <cell r="B151">
            <v>147.68018425959175</v>
          </cell>
          <cell r="C151">
            <v>155.12417933824969</v>
          </cell>
          <cell r="D151">
            <v>7.4439950786579345</v>
          </cell>
          <cell r="F151">
            <v>73.178132071948582</v>
          </cell>
          <cell r="G151">
            <v>74.685240860655725</v>
          </cell>
          <cell r="H151">
            <v>1.5071087887071428</v>
          </cell>
          <cell r="J151">
            <v>64.395291953658074</v>
          </cell>
          <cell r="K151">
            <v>65.68240841506514</v>
          </cell>
          <cell r="L151">
            <v>1.2871164614070665</v>
          </cell>
          <cell r="N151">
            <v>44.274058496321551</v>
          </cell>
          <cell r="O151">
            <v>45.13528912345113</v>
          </cell>
          <cell r="P151">
            <v>0.86123062712957932</v>
          </cell>
          <cell r="R151">
            <v>60.545380667313225</v>
          </cell>
          <cell r="S151">
            <v>61.635230738847063</v>
          </cell>
          <cell r="T151">
            <v>1.0898500715338386</v>
          </cell>
          <cell r="V151">
            <v>76.915330182246379</v>
          </cell>
          <cell r="W151">
            <v>78.553631836966872</v>
          </cell>
          <cell r="X151">
            <v>1.6383016547204932</v>
          </cell>
          <cell r="Z151">
            <v>59.70510418983428</v>
          </cell>
        </row>
        <row r="152">
          <cell r="A152" t="str">
            <v>Hutt Valley DHB</v>
          </cell>
          <cell r="B152">
            <v>183.32294063259295</v>
          </cell>
          <cell r="C152">
            <v>182.52769646893182</v>
          </cell>
          <cell r="D152">
            <v>-0.79524416366112405</v>
          </cell>
          <cell r="F152">
            <v>75.049346153631618</v>
          </cell>
          <cell r="G152">
            <v>74.033888583514567</v>
          </cell>
          <cell r="H152">
            <v>-1.0154575701170501</v>
          </cell>
          <cell r="J152">
            <v>66.352795944632675</v>
          </cell>
          <cell r="K152">
            <v>65.939686369119414</v>
          </cell>
          <cell r="L152">
            <v>-0.41310957551326055</v>
          </cell>
          <cell r="N152">
            <v>45.278021507448805</v>
          </cell>
          <cell r="O152">
            <v>44.64933534149695</v>
          </cell>
          <cell r="P152">
            <v>-0.628686165951855</v>
          </cell>
          <cell r="R152">
            <v>63.236913807033623</v>
          </cell>
          <cell r="S152">
            <v>62.926403046936265</v>
          </cell>
          <cell r="T152">
            <v>-0.31051076009735823</v>
          </cell>
          <cell r="V152">
            <v>82.646273011625553</v>
          </cell>
          <cell r="W152">
            <v>81.209871051783537</v>
          </cell>
          <cell r="X152">
            <v>-1.4364019598420157</v>
          </cell>
          <cell r="Z152">
            <v>62.008825043255214</v>
          </cell>
        </row>
        <row r="153">
          <cell r="A153" t="str">
            <v>Lakes DHB</v>
          </cell>
          <cell r="B153">
            <v>188.31419079123623</v>
          </cell>
          <cell r="C153">
            <v>193.5</v>
          </cell>
          <cell r="D153">
            <v>5.1858092087637715</v>
          </cell>
          <cell r="F153">
            <v>73.632222295936529</v>
          </cell>
          <cell r="G153">
            <v>73.071467940474008</v>
          </cell>
          <cell r="H153">
            <v>-0.56075435546252095</v>
          </cell>
          <cell r="J153">
            <v>67.495409086216881</v>
          </cell>
          <cell r="K153">
            <v>69.24187082405345</v>
          </cell>
          <cell r="L153">
            <v>1.7464617378365688</v>
          </cell>
          <cell r="N153">
            <v>44.458854680952449</v>
          </cell>
          <cell r="O153">
            <v>41.680763983628921</v>
          </cell>
          <cell r="P153">
            <v>-2.7780906973235275</v>
          </cell>
          <cell r="R153">
            <v>63.021052861331469</v>
          </cell>
          <cell r="S153">
            <v>62.400789733464954</v>
          </cell>
          <cell r="T153">
            <v>-0.62026312786651516</v>
          </cell>
          <cell r="V153">
            <v>83.109055141546349</v>
          </cell>
          <cell r="W153">
            <v>83.192483959670028</v>
          </cell>
          <cell r="X153">
            <v>8.3428818123678639E-2</v>
          </cell>
          <cell r="Z153">
            <v>62.361332800135941</v>
          </cell>
        </row>
        <row r="154">
          <cell r="A154" t="str">
            <v>MidCentral DHB</v>
          </cell>
          <cell r="B154">
            <v>183.8863446640193</v>
          </cell>
          <cell r="C154">
            <v>176.97400346620449</v>
          </cell>
          <cell r="D154">
            <v>-6.9123411978148113</v>
          </cell>
          <cell r="F154">
            <v>73.638911655726858</v>
          </cell>
          <cell r="G154">
            <v>74.636314363143626</v>
          </cell>
          <cell r="H154">
            <v>0.99740270741676795</v>
          </cell>
          <cell r="J154">
            <v>65.946927961465036</v>
          </cell>
          <cell r="K154">
            <v>63.735475896168111</v>
          </cell>
          <cell r="L154">
            <v>-2.2114520652969247</v>
          </cell>
          <cell r="N154">
            <v>41.778175241425792</v>
          </cell>
          <cell r="O154">
            <v>43.021739130434781</v>
          </cell>
          <cell r="P154">
            <v>1.2435638890089891</v>
          </cell>
          <cell r="R154">
            <v>53.951489977057534</v>
          </cell>
          <cell r="S154">
            <v>52.519455252918291</v>
          </cell>
          <cell r="T154">
            <v>-1.4320347241392426</v>
          </cell>
          <cell r="V154">
            <v>81.035002485265849</v>
          </cell>
          <cell r="W154">
            <v>80.286830613652029</v>
          </cell>
          <cell r="X154">
            <v>-0.74817187161382037</v>
          </cell>
          <cell r="Z154">
            <v>58.211195026271255</v>
          </cell>
        </row>
        <row r="155">
          <cell r="A155" t="str">
            <v>Nelson Marlborough DHB</v>
          </cell>
          <cell r="B155">
            <v>223.68215301604593</v>
          </cell>
          <cell r="C155">
            <v>231.18038740920099</v>
          </cell>
          <cell r="D155">
            <v>7.4982343931550588</v>
          </cell>
          <cell r="F155">
            <v>75.98962495556539</v>
          </cell>
          <cell r="G155">
            <v>77.936507936507937</v>
          </cell>
          <cell r="H155">
            <v>1.9468829809425472</v>
          </cell>
          <cell r="J155">
            <v>57.243471493342163</v>
          </cell>
          <cell r="K155">
            <v>59.275383927240199</v>
          </cell>
          <cell r="L155">
            <v>2.0319124338980359</v>
          </cell>
          <cell r="N155">
            <v>46.48366883793453</v>
          </cell>
          <cell r="O155">
            <v>52.077994428969362</v>
          </cell>
          <cell r="P155">
            <v>5.5943255910348313</v>
          </cell>
          <cell r="R155">
            <v>61.727911149301093</v>
          </cell>
          <cell r="S155">
            <v>60.895091434071226</v>
          </cell>
          <cell r="T155">
            <v>-0.83281971522986709</v>
          </cell>
          <cell r="V155">
            <v>79.536085904916675</v>
          </cell>
          <cell r="W155">
            <v>81.658473913529207</v>
          </cell>
          <cell r="X155">
            <v>2.122388008612532</v>
          </cell>
          <cell r="Z155">
            <v>57.77785070717848</v>
          </cell>
        </row>
        <row r="156">
          <cell r="A156" t="str">
            <v>Northland DHB</v>
          </cell>
          <cell r="B156">
            <v>200.87917385343417</v>
          </cell>
          <cell r="C156">
            <v>185.26738115648203</v>
          </cell>
          <cell r="D156">
            <v>-15.611792696952136</v>
          </cell>
          <cell r="F156">
            <v>72.262602467859324</v>
          </cell>
          <cell r="G156">
            <v>74.081238801543833</v>
          </cell>
          <cell r="H156">
            <v>1.8186363336845091</v>
          </cell>
          <cell r="J156">
            <v>61.736974041256161</v>
          </cell>
          <cell r="K156">
            <v>64.120611636413329</v>
          </cell>
          <cell r="L156">
            <v>2.3836375951571682</v>
          </cell>
          <cell r="N156">
            <v>44.584009496442441</v>
          </cell>
          <cell r="O156">
            <v>45.458677722203305</v>
          </cell>
          <cell r="P156">
            <v>0.874668225760864</v>
          </cell>
          <cell r="R156">
            <v>63.39254329716055</v>
          </cell>
          <cell r="S156">
            <v>64.169616548149392</v>
          </cell>
          <cell r="T156">
            <v>0.77707325098884183</v>
          </cell>
          <cell r="V156">
            <v>80.477225431034157</v>
          </cell>
          <cell r="W156">
            <v>81.131354916147657</v>
          </cell>
          <cell r="X156">
            <v>0.65412948511350066</v>
          </cell>
          <cell r="Z156">
            <v>60.914289353180642</v>
          </cell>
        </row>
        <row r="157">
          <cell r="A157" t="str">
            <v>Taranaki DHB</v>
          </cell>
          <cell r="B157">
            <v>180.09698524253133</v>
          </cell>
          <cell r="C157">
            <v>176.55629139072849</v>
          </cell>
          <cell r="D157">
            <v>-3.5406938518028426</v>
          </cell>
          <cell r="F157">
            <v>72.175129978598193</v>
          </cell>
          <cell r="G157">
            <v>67.186736474694584</v>
          </cell>
          <cell r="H157">
            <v>-4.9883935039036089</v>
          </cell>
          <cell r="J157">
            <v>63.288936760776359</v>
          </cell>
          <cell r="K157">
            <v>59.028368794326241</v>
          </cell>
          <cell r="L157">
            <v>-4.2605679664501181</v>
          </cell>
          <cell r="N157">
            <v>43.24910291284845</v>
          </cell>
          <cell r="O157">
            <v>40.242744063324537</v>
          </cell>
          <cell r="P157">
            <v>-3.0063588495239131</v>
          </cell>
          <cell r="R157">
            <v>63.783227981338285</v>
          </cell>
          <cell r="S157">
            <v>61.205463858850315</v>
          </cell>
          <cell r="T157">
            <v>-2.5777641224879702</v>
          </cell>
          <cell r="V157">
            <v>78.289279943050033</v>
          </cell>
          <cell r="W157">
            <v>74.297673862345277</v>
          </cell>
          <cell r="X157">
            <v>-3.9916060807047558</v>
          </cell>
          <cell r="Z157">
            <v>60.603336248396033</v>
          </cell>
        </row>
        <row r="158">
          <cell r="A158" t="str">
            <v>Large</v>
          </cell>
        </row>
        <row r="159">
          <cell r="A159" t="str">
            <v>Auckland DHB</v>
          </cell>
          <cell r="B159">
            <v>163.62971074000595</v>
          </cell>
          <cell r="C159">
            <v>171.51171224723558</v>
          </cell>
          <cell r="D159">
            <v>7.8820015072296314</v>
          </cell>
          <cell r="F159">
            <v>74.074162779025514</v>
          </cell>
          <cell r="G159">
            <v>72.515653482349435</v>
          </cell>
          <cell r="H159">
            <v>-1.5585092966760783</v>
          </cell>
          <cell r="J159">
            <v>70.097536732496238</v>
          </cell>
          <cell r="K159">
            <v>69.948539495113906</v>
          </cell>
          <cell r="L159">
            <v>-0.14899723738233206</v>
          </cell>
          <cell r="N159">
            <v>42.114252847898122</v>
          </cell>
          <cell r="O159">
            <v>39.344709460573597</v>
          </cell>
          <cell r="P159">
            <v>-2.769543387324525</v>
          </cell>
          <cell r="R159">
            <v>87.01014284097873</v>
          </cell>
          <cell r="S159">
            <v>81.11068488199686</v>
          </cell>
          <cell r="T159">
            <v>-5.8994579589818699</v>
          </cell>
          <cell r="V159">
            <v>90.927453190500231</v>
          </cell>
          <cell r="W159">
            <v>89.939816565175533</v>
          </cell>
          <cell r="X159">
            <v>-0.98763662532469709</v>
          </cell>
          <cell r="Z159">
            <v>75.076027272256354</v>
          </cell>
        </row>
        <row r="160">
          <cell r="A160" t="str">
            <v>Canterbury DHB</v>
          </cell>
          <cell r="B160">
            <v>179.7958949119961</v>
          </cell>
          <cell r="C160">
            <v>181.41263940520446</v>
          </cell>
          <cell r="D160">
            <v>1.6167444932083583</v>
          </cell>
          <cell r="F160">
            <v>69.723272532090874</v>
          </cell>
          <cell r="G160">
            <v>70.337642351492761</v>
          </cell>
          <cell r="H160">
            <v>0.61436981940188673</v>
          </cell>
          <cell r="J160">
            <v>65.104139796057055</v>
          </cell>
          <cell r="K160">
            <v>64.3</v>
          </cell>
          <cell r="L160">
            <v>-0.80413979605705777</v>
          </cell>
          <cell r="N160">
            <v>44.101622341353298</v>
          </cell>
          <cell r="O160">
            <v>46.452830188679243</v>
          </cell>
          <cell r="P160">
            <v>2.351207847325945</v>
          </cell>
          <cell r="R160">
            <v>57.51514510257698</v>
          </cell>
          <cell r="S160">
            <v>53.663837011884553</v>
          </cell>
          <cell r="T160">
            <v>-3.8513080906924273</v>
          </cell>
          <cell r="V160">
            <v>79.004110329403758</v>
          </cell>
          <cell r="W160">
            <v>78.258294528521532</v>
          </cell>
          <cell r="X160">
            <v>-0.74581580088222665</v>
          </cell>
          <cell r="Z160">
            <v>59.568021970482064</v>
          </cell>
        </row>
        <row r="161">
          <cell r="A161" t="str">
            <v>Capital &amp; Coast DHB</v>
          </cell>
          <cell r="B161">
            <v>159.10378903092891</v>
          </cell>
          <cell r="C161">
            <v>146.8582808398163</v>
          </cell>
          <cell r="D161">
            <v>-12.245508191112606</v>
          </cell>
          <cell r="F161">
            <v>71.846579893461865</v>
          </cell>
          <cell r="G161">
            <v>70.796124522291535</v>
          </cell>
          <cell r="H161">
            <v>-1.0504553711703295</v>
          </cell>
          <cell r="J161">
            <v>67.174835715033751</v>
          </cell>
          <cell r="K161">
            <v>63.194340209661959</v>
          </cell>
          <cell r="L161">
            <v>-3.9804955053717919</v>
          </cell>
          <cell r="N161">
            <v>44.90045921345471</v>
          </cell>
          <cell r="O161">
            <v>42.910144685198304</v>
          </cell>
          <cell r="P161">
            <v>-1.9903145282564054</v>
          </cell>
          <cell r="R161">
            <v>60.980519649681874</v>
          </cell>
          <cell r="S161">
            <v>59.655039055366103</v>
          </cell>
          <cell r="T161">
            <v>-1.3254805943157706</v>
          </cell>
          <cell r="V161">
            <v>81.664293870584288</v>
          </cell>
          <cell r="W161">
            <v>78.58493109404786</v>
          </cell>
          <cell r="X161">
            <v>-3.0793627765364278</v>
          </cell>
          <cell r="Z161">
            <v>61.876229266959832</v>
          </cell>
        </row>
        <row r="162">
          <cell r="A162" t="str">
            <v>Counties Manukau DHB</v>
          </cell>
          <cell r="B162">
            <v>163.09320918342459</v>
          </cell>
          <cell r="C162">
            <v>164.04624361304658</v>
          </cell>
          <cell r="D162">
            <v>0.9530344296219937</v>
          </cell>
          <cell r="F162">
            <v>70.688798576534523</v>
          </cell>
          <cell r="G162">
            <v>70.870189169023817</v>
          </cell>
          <cell r="H162">
            <v>0.18139059248929357</v>
          </cell>
          <cell r="J162">
            <v>66.186591673735762</v>
          </cell>
          <cell r="K162">
            <v>67.477075304920703</v>
          </cell>
          <cell r="L162">
            <v>1.2904836311849408</v>
          </cell>
          <cell r="N162">
            <v>47.8104603168374</v>
          </cell>
          <cell r="O162">
            <v>48.129608066950794</v>
          </cell>
          <cell r="P162">
            <v>0.31914775011339458</v>
          </cell>
          <cell r="R162">
            <v>75.252135400189815</v>
          </cell>
          <cell r="S162">
            <v>73.300506943247598</v>
          </cell>
          <cell r="T162">
            <v>-1.9516284569422169</v>
          </cell>
          <cell r="V162">
            <v>83.757329516598162</v>
          </cell>
          <cell r="W162">
            <v>84.024754655444951</v>
          </cell>
          <cell r="X162">
            <v>0.26742513884678942</v>
          </cell>
          <cell r="Z162">
            <v>66.317559908771059</v>
          </cell>
        </row>
        <row r="163">
          <cell r="A163" t="str">
            <v>Southern DHB</v>
          </cell>
          <cell r="B163">
            <v>203.76467440754894</v>
          </cell>
          <cell r="C163">
            <v>204.47067997289756</v>
          </cell>
          <cell r="D163">
            <v>0.7060055653486188</v>
          </cell>
          <cell r="F163">
            <v>73.662981191531244</v>
          </cell>
          <cell r="G163">
            <v>73.671151155632657</v>
          </cell>
          <cell r="H163">
            <v>8.1699641014125746E-3</v>
          </cell>
          <cell r="J163">
            <v>66.87812405593418</v>
          </cell>
          <cell r="K163">
            <v>65.813430402071205</v>
          </cell>
          <cell r="L163">
            <v>-1.0646936538629745</v>
          </cell>
          <cell r="N163">
            <v>46.941219569123156</v>
          </cell>
          <cell r="O163">
            <v>48.144293204275051</v>
          </cell>
          <cell r="P163">
            <v>1.2030736351518954</v>
          </cell>
          <cell r="R163">
            <v>60.001789090909092</v>
          </cell>
          <cell r="S163">
            <v>59.115638267491669</v>
          </cell>
          <cell r="T163">
            <v>-0.88615082341742379</v>
          </cell>
          <cell r="V163">
            <v>84.875559587955294</v>
          </cell>
          <cell r="W163">
            <v>83.848697576184236</v>
          </cell>
          <cell r="X163">
            <v>-1.0268620117710583</v>
          </cell>
          <cell r="Z163">
            <v>61.336124316615937</v>
          </cell>
        </row>
        <row r="164">
          <cell r="A164" t="str">
            <v>Waikato DHB</v>
          </cell>
          <cell r="B164">
            <v>199.51957953096016</v>
          </cell>
          <cell r="C164">
            <v>192.28407010201414</v>
          </cell>
          <cell r="D164">
            <v>-7.2355094289460169</v>
          </cell>
          <cell r="F164">
            <v>74.905438096383961</v>
          </cell>
          <cell r="G164">
            <v>74.842529972333239</v>
          </cell>
          <cell r="H164">
            <v>-6.2908124050721881E-2</v>
          </cell>
          <cell r="J164">
            <v>64.062934735762482</v>
          </cell>
          <cell r="K164">
            <v>67.579960777322157</v>
          </cell>
          <cell r="L164">
            <v>3.5170260415596744</v>
          </cell>
          <cell r="N164">
            <v>43.724870526333206</v>
          </cell>
          <cell r="O164">
            <v>42.520154610712318</v>
          </cell>
          <cell r="P164">
            <v>-1.2047159156208878</v>
          </cell>
          <cell r="R164">
            <v>59.076640039297118</v>
          </cell>
          <cell r="S164">
            <v>58.895513214505222</v>
          </cell>
          <cell r="T164">
            <v>-0.18112682479189601</v>
          </cell>
          <cell r="V164">
            <v>83.116328522080167</v>
          </cell>
          <cell r="W164">
            <v>82.836686929103138</v>
          </cell>
          <cell r="X164">
            <v>-0.27964159297702906</v>
          </cell>
          <cell r="Z164">
            <v>59.046330322365485</v>
          </cell>
        </row>
        <row r="165">
          <cell r="A165" t="str">
            <v>Waitemata DHB</v>
          </cell>
          <cell r="B165">
            <v>172.72571980874594</v>
          </cell>
          <cell r="C165">
            <v>155.52399898197152</v>
          </cell>
          <cell r="D165">
            <v>-17.201720826774419</v>
          </cell>
          <cell r="F165">
            <v>74.570275901539958</v>
          </cell>
          <cell r="G165">
            <v>75.153350938609364</v>
          </cell>
          <cell r="H165">
            <v>0.58307503706940622</v>
          </cell>
          <cell r="J165">
            <v>66.385964737481785</v>
          </cell>
          <cell r="K165">
            <v>66.449870193866772</v>
          </cell>
          <cell r="L165">
            <v>6.3905456384986792E-2</v>
          </cell>
          <cell r="N165">
            <v>51.273677605769578</v>
          </cell>
          <cell r="O165">
            <v>47.748091603053432</v>
          </cell>
          <cell r="P165">
            <v>-3.5255860027161461</v>
          </cell>
          <cell r="R165">
            <v>71.229088870573108</v>
          </cell>
          <cell r="S165">
            <v>68.85855779683537</v>
          </cell>
          <cell r="T165">
            <v>-2.3705310737377374</v>
          </cell>
          <cell r="V165">
            <v>85.218316429519817</v>
          </cell>
          <cell r="W165">
            <v>83.123142235351864</v>
          </cell>
          <cell r="X165">
            <v>-2.0951741941679529</v>
          </cell>
          <cell r="Z165">
            <v>67.322184819247767</v>
          </cell>
        </row>
        <row r="166">
          <cell r="A166" t="str">
            <v>TOTAL</v>
          </cell>
          <cell r="B166">
            <v>178.97341032394419</v>
          </cell>
          <cell r="C166">
            <v>176.9674158571778</v>
          </cell>
          <cell r="D166">
            <v>-2.0059944667663956</v>
          </cell>
          <cell r="F166">
            <v>72.876027994592633</v>
          </cell>
          <cell r="G166">
            <v>72.819094888968735</v>
          </cell>
          <cell r="H166">
            <v>-5.6933105623897973E-2</v>
          </cell>
          <cell r="J166">
            <v>65.715910794805211</v>
          </cell>
          <cell r="K166">
            <v>65.77938130745089</v>
          </cell>
          <cell r="L166">
            <v>6.3470512645679378E-2</v>
          </cell>
          <cell r="N166">
            <v>45.097227988664578</v>
          </cell>
          <cell r="O166">
            <v>44.901218639822481</v>
          </cell>
          <cell r="P166">
            <v>-0.19600934884209664</v>
          </cell>
          <cell r="R166">
            <v>65.43511306378889</v>
          </cell>
          <cell r="S166">
            <v>63.622357594835862</v>
          </cell>
          <cell r="T166">
            <v>-1.8127554689530285</v>
          </cell>
          <cell r="V166">
            <v>83.200480790595591</v>
          </cell>
          <cell r="W166">
            <v>82.458472925720528</v>
          </cell>
          <cell r="X166">
            <v>-0.74200786487506321</v>
          </cell>
          <cell r="Z166">
            <v>63.335217968881722</v>
          </cell>
        </row>
        <row r="186">
          <cell r="A186" t="str">
            <v>Auckland DHB</v>
          </cell>
          <cell r="B186">
            <v>175.21252859140688</v>
          </cell>
          <cell r="C186">
            <v>175.54920360257316</v>
          </cell>
          <cell r="D186">
            <v>0.33667501116627818</v>
          </cell>
          <cell r="F186">
            <v>77.483851390670168</v>
          </cell>
          <cell r="G186">
            <v>75.693385470319129</v>
          </cell>
          <cell r="H186">
            <v>-1.7904659203510391</v>
          </cell>
          <cell r="J186">
            <v>71.721011786881164</v>
          </cell>
          <cell r="K186">
            <v>73.023866850165746</v>
          </cell>
          <cell r="L186">
            <v>1.3028550632845821</v>
          </cell>
          <cell r="N186">
            <v>63.954164592391017</v>
          </cell>
          <cell r="O186">
            <v>41.116064122740937</v>
          </cell>
          <cell r="P186">
            <v>-22.83810046965008</v>
          </cell>
          <cell r="R186">
            <v>87.304059788562313</v>
          </cell>
          <cell r="S186">
            <v>88.587672937977544</v>
          </cell>
          <cell r="T186">
            <v>1.2836131494152312</v>
          </cell>
          <cell r="V186">
            <v>95.490765038835519</v>
          </cell>
          <cell r="W186">
            <v>94.054932418921453</v>
          </cell>
          <cell r="X186">
            <v>-1.4358326199140663</v>
          </cell>
          <cell r="Z186">
            <v>76.891729726088315</v>
          </cell>
        </row>
        <row r="187">
          <cell r="A187" t="str">
            <v>Counties Manukau DHB</v>
          </cell>
          <cell r="B187">
            <v>167.0069657286152</v>
          </cell>
          <cell r="C187">
            <v>159.83895196506552</v>
          </cell>
          <cell r="D187">
            <v>-7.1680137635496806</v>
          </cell>
          <cell r="F187">
            <v>76.919587482723188</v>
          </cell>
          <cell r="G187">
            <v>74.815324095403483</v>
          </cell>
          <cell r="H187">
            <v>-2.1042633873197047</v>
          </cell>
          <cell r="J187">
            <v>66.868269230769229</v>
          </cell>
          <cell r="K187">
            <v>67.314276537658586</v>
          </cell>
          <cell r="L187">
            <v>0.44600730688935641</v>
          </cell>
          <cell r="N187">
            <v>49.205826472450916</v>
          </cell>
          <cell r="O187">
            <v>50.983471074380162</v>
          </cell>
          <cell r="P187">
            <v>1.7776446019292464</v>
          </cell>
          <cell r="R187">
            <v>77.448941077794089</v>
          </cell>
          <cell r="S187">
            <v>74.549284578696344</v>
          </cell>
          <cell r="T187">
            <v>-2.8996564990977447</v>
          </cell>
          <cell r="V187">
            <v>85.299045818439637</v>
          </cell>
          <cell r="W187">
            <v>86.441442118393169</v>
          </cell>
          <cell r="X187">
            <v>1.142396299953532</v>
          </cell>
          <cell r="Z187">
            <v>67.513062978882445</v>
          </cell>
        </row>
        <row r="188">
          <cell r="A188" t="str">
            <v>Northland DHB</v>
          </cell>
          <cell r="B188">
            <v>203.86602207060943</v>
          </cell>
          <cell r="C188">
            <v>188.14589919613468</v>
          </cell>
          <cell r="D188">
            <v>-15.720122874474754</v>
          </cell>
          <cell r="F188">
            <v>76.270243690490133</v>
          </cell>
          <cell r="G188">
            <v>75.641652011161014</v>
          </cell>
          <cell r="H188">
            <v>-0.6285916793291193</v>
          </cell>
          <cell r="J188">
            <v>66.306951734632108</v>
          </cell>
          <cell r="K188">
            <v>64.785856192440434</v>
          </cell>
          <cell r="L188">
            <v>-1.5210955421916736</v>
          </cell>
          <cell r="N188">
            <v>48.35974015103853</v>
          </cell>
          <cell r="O188">
            <v>45.101504631239514</v>
          </cell>
          <cell r="P188">
            <v>-3.2582355197990154</v>
          </cell>
          <cell r="R188">
            <v>64.713940298548721</v>
          </cell>
          <cell r="S188">
            <v>65.634805368790239</v>
          </cell>
          <cell r="T188">
            <v>0.92086507024151842</v>
          </cell>
          <cell r="V188">
            <v>83.331845613925182</v>
          </cell>
          <cell r="W188">
            <v>83.17710596055727</v>
          </cell>
          <cell r="X188">
            <v>-0.15473965336791196</v>
          </cell>
          <cell r="Z188">
            <v>64.160443679749335</v>
          </cell>
        </row>
        <row r="189">
          <cell r="A189" t="str">
            <v>Waitemata DHB</v>
          </cell>
          <cell r="B189">
            <v>167.6852993571556</v>
          </cell>
          <cell r="C189">
            <v>160.12229288942518</v>
          </cell>
          <cell r="D189">
            <v>-7.5630064677304176</v>
          </cell>
          <cell r="F189">
            <v>77.199555186617999</v>
          </cell>
          <cell r="G189">
            <v>73.674879007627595</v>
          </cell>
          <cell r="H189">
            <v>-3.5246761789904042</v>
          </cell>
          <cell r="J189">
            <v>68.078464992723568</v>
          </cell>
          <cell r="K189">
            <v>63.996884044199966</v>
          </cell>
          <cell r="L189">
            <v>-4.0815809485236016</v>
          </cell>
          <cell r="N189">
            <v>47.006458500936063</v>
          </cell>
          <cell r="O189">
            <v>43.688267276714662</v>
          </cell>
          <cell r="P189">
            <v>-3.3181912242214011</v>
          </cell>
          <cell r="R189">
            <v>70.056467407879495</v>
          </cell>
          <cell r="S189">
            <v>69.692273109094558</v>
          </cell>
          <cell r="T189">
            <v>-0.36419429878493759</v>
          </cell>
          <cell r="V189">
            <v>84.9043933340878</v>
          </cell>
          <cell r="W189">
            <v>81.717688078737879</v>
          </cell>
          <cell r="X189">
            <v>-3.1867052553499207</v>
          </cell>
          <cell r="Z189">
            <v>66.809317232920492</v>
          </cell>
        </row>
        <row r="190">
          <cell r="A190" t="str">
            <v>Northern Region Total</v>
          </cell>
          <cell r="B190">
            <v>173.29948228476283</v>
          </cell>
          <cell r="C190">
            <v>168.30633205406474</v>
          </cell>
          <cell r="D190">
            <v>-4.9931502306980917</v>
          </cell>
          <cell r="F190">
            <v>77.133062367929256</v>
          </cell>
          <cell r="G190">
            <v>74.909591036771417</v>
          </cell>
          <cell r="H190">
            <v>-2.2234713311578389</v>
          </cell>
          <cell r="J190">
            <v>68.992545577248663</v>
          </cell>
          <cell r="K190">
            <v>68.192545602900083</v>
          </cell>
          <cell r="L190">
            <v>-0.79999997434858017</v>
          </cell>
          <cell r="N190">
            <v>52.229716057085469</v>
          </cell>
          <cell r="O190">
            <v>46.23734311821547</v>
          </cell>
          <cell r="P190">
            <v>-5.9923729388699982</v>
          </cell>
          <cell r="R190">
            <v>77.591278401273044</v>
          </cell>
          <cell r="S190">
            <v>77.400184305804785</v>
          </cell>
          <cell r="T190">
            <v>-0.19109409546825873</v>
          </cell>
          <cell r="V190">
            <v>88.771228666507824</v>
          </cell>
          <cell r="W190">
            <v>87.630456321218091</v>
          </cell>
          <cell r="X190">
            <v>-1.1407723452897329</v>
          </cell>
          <cell r="Z190">
            <v>70.31908311405266</v>
          </cell>
        </row>
        <row r="192">
          <cell r="A192" t="str">
            <v>Bay of Plenty DHB</v>
          </cell>
          <cell r="B192">
            <v>198.87320644216692</v>
          </cell>
          <cell r="C192">
            <v>194.56802721088437</v>
          </cell>
          <cell r="D192">
            <v>-4.3051792312825512</v>
          </cell>
          <cell r="F192">
            <v>77.983002832861189</v>
          </cell>
          <cell r="G192">
            <v>75.43925536220155</v>
          </cell>
          <cell r="H192">
            <v>-2.543747470659639</v>
          </cell>
          <cell r="J192">
            <v>67.321174889614127</v>
          </cell>
          <cell r="K192">
            <v>66.956719817767649</v>
          </cell>
          <cell r="L192">
            <v>-0.36445507184647852</v>
          </cell>
          <cell r="N192">
            <v>45.631878557874764</v>
          </cell>
          <cell r="O192">
            <v>44.289855072463766</v>
          </cell>
          <cell r="P192">
            <v>-1.3420234854109978</v>
          </cell>
          <cell r="R192">
            <v>62.306057781919854</v>
          </cell>
          <cell r="S192">
            <v>61.348940914158305</v>
          </cell>
          <cell r="T192">
            <v>-0.95711686776154892</v>
          </cell>
          <cell r="V192">
            <v>83.541305483028722</v>
          </cell>
          <cell r="W192">
            <v>84.243499237291132</v>
          </cell>
          <cell r="X192">
            <v>0.70219375426241015</v>
          </cell>
          <cell r="Z192">
            <v>62.286466474701776</v>
          </cell>
        </row>
        <row r="193">
          <cell r="A193" t="str">
            <v>Lakes DHB</v>
          </cell>
          <cell r="B193">
            <v>189.92219491031085</v>
          </cell>
          <cell r="C193">
            <v>202.20885357548238</v>
          </cell>
          <cell r="D193">
            <v>12.286658665171529</v>
          </cell>
          <cell r="F193">
            <v>77.93344244408074</v>
          </cell>
          <cell r="G193">
            <v>73.516639388979812</v>
          </cell>
          <cell r="H193">
            <v>-4.4168030551009281</v>
          </cell>
          <cell r="J193">
            <v>70.905636478784047</v>
          </cell>
          <cell r="K193">
            <v>68.574468085106389</v>
          </cell>
          <cell r="L193">
            <v>-2.3311683936776575</v>
          </cell>
          <cell r="N193">
            <v>46.015597592897429</v>
          </cell>
          <cell r="O193">
            <v>43.58413132694939</v>
          </cell>
          <cell r="P193">
            <v>-2.4314662659480391</v>
          </cell>
          <cell r="R193">
            <v>64.013050570962477</v>
          </cell>
          <cell r="S193">
            <v>61.005768578215132</v>
          </cell>
          <cell r="T193">
            <v>-3.0072819927473446</v>
          </cell>
          <cell r="V193">
            <v>85.303947047786892</v>
          </cell>
          <cell r="W193">
            <v>85.404168245547567</v>
          </cell>
          <cell r="X193">
            <v>0.10022119776067484</v>
          </cell>
          <cell r="Z193">
            <v>64.335085355963713</v>
          </cell>
        </row>
        <row r="194">
          <cell r="A194" t="str">
            <v>Tairawhiti DHB</v>
          </cell>
          <cell r="B194">
            <v>257.31219512195122</v>
          </cell>
          <cell r="C194">
            <v>251.42004677576193</v>
          </cell>
          <cell r="D194">
            <v>-5.8921483461892876</v>
          </cell>
          <cell r="F194">
            <v>79.244516653127548</v>
          </cell>
          <cell r="G194">
            <v>77.175993501210414</v>
          </cell>
          <cell r="H194">
            <v>-2.0685231519171339</v>
          </cell>
          <cell r="J194">
            <v>70.180995475113122</v>
          </cell>
          <cell r="K194">
            <v>65.02124743589745</v>
          </cell>
          <cell r="L194">
            <v>-5.1597480392156712</v>
          </cell>
          <cell r="N194">
            <v>51.28846153846154</v>
          </cell>
          <cell r="O194">
            <v>47.123399999999997</v>
          </cell>
          <cell r="P194">
            <v>-4.1650615384615435</v>
          </cell>
          <cell r="R194">
            <v>61.911305434103689</v>
          </cell>
          <cell r="S194">
            <v>63.995411718858008</v>
          </cell>
          <cell r="T194">
            <v>2.0841062847543199</v>
          </cell>
          <cell r="V194">
            <v>90.579509071504802</v>
          </cell>
          <cell r="W194">
            <v>90.162280996726778</v>
          </cell>
          <cell r="X194">
            <v>-0.41722807477802348</v>
          </cell>
          <cell r="Z194">
            <v>65.381045568912484</v>
          </cell>
        </row>
        <row r="195">
          <cell r="A195" t="str">
            <v>Taranaki DHB</v>
          </cell>
          <cell r="B195">
            <v>186.83533935519102</v>
          </cell>
          <cell r="C195">
            <v>211.73846153846154</v>
          </cell>
          <cell r="D195">
            <v>24.903122183270511</v>
          </cell>
          <cell r="F195">
            <v>72.838596491228074</v>
          </cell>
          <cell r="G195">
            <v>70.473684210526315</v>
          </cell>
          <cell r="H195">
            <v>-2.3649122807017591</v>
          </cell>
          <cell r="J195">
            <v>65.89058609784</v>
          </cell>
          <cell r="K195">
            <v>57.469565217391306</v>
          </cell>
          <cell r="L195">
            <v>-8.4210208804486939</v>
          </cell>
          <cell r="N195">
            <v>44.695950647061558</v>
          </cell>
          <cell r="O195">
            <v>34.929411764705883</v>
          </cell>
          <cell r="P195">
            <v>-9.7665388823556754</v>
          </cell>
          <cell r="R195">
            <v>65.878791205299251</v>
          </cell>
          <cell r="S195">
            <v>60.701986754966889</v>
          </cell>
          <cell r="T195">
            <v>-5.1768044503323623</v>
          </cell>
          <cell r="V195">
            <v>81.039709434815748</v>
          </cell>
          <cell r="W195">
            <v>77.611996962794223</v>
          </cell>
          <cell r="X195">
            <v>-3.4277124720215255</v>
          </cell>
          <cell r="Z195">
            <v>62.71816992304452</v>
          </cell>
        </row>
        <row r="196">
          <cell r="A196" t="str">
            <v>Waikato DHB</v>
          </cell>
          <cell r="B196">
            <v>197.72432488604301</v>
          </cell>
          <cell r="C196">
            <v>206.14263565891474</v>
          </cell>
          <cell r="D196">
            <v>8.4183107728717346</v>
          </cell>
          <cell r="F196">
            <v>75.780696992726092</v>
          </cell>
          <cell r="G196">
            <v>75.73162523070242</v>
          </cell>
          <cell r="H196">
            <v>-4.907176202367225E-2</v>
          </cell>
          <cell r="J196">
            <v>67.374059847164787</v>
          </cell>
          <cell r="K196">
            <v>65.911173775114563</v>
          </cell>
          <cell r="L196">
            <v>-1.4628860720502246</v>
          </cell>
          <cell r="N196">
            <v>46.072186836518043</v>
          </cell>
          <cell r="O196">
            <v>45.040632054176072</v>
          </cell>
          <cell r="P196">
            <v>-1.0315547823419706</v>
          </cell>
          <cell r="R196">
            <v>61.387155224292989</v>
          </cell>
          <cell r="S196">
            <v>61.441874999999996</v>
          </cell>
          <cell r="T196">
            <v>5.471977570700659E-2</v>
          </cell>
          <cell r="V196">
            <v>85.018858804317986</v>
          </cell>
          <cell r="W196">
            <v>85.344898120986272</v>
          </cell>
          <cell r="X196">
            <v>0.32603931666828601</v>
          </cell>
          <cell r="Z196">
            <v>61.698124075397772</v>
          </cell>
        </row>
        <row r="197">
          <cell r="A197" t="str">
            <v>Midland Region Total</v>
          </cell>
          <cell r="B197">
            <v>199.02666218369501</v>
          </cell>
          <cell r="C197">
            <v>206.09695215269946</v>
          </cell>
          <cell r="D197">
            <v>7.0702899690044489</v>
          </cell>
          <cell r="F197">
            <v>76.30812533691261</v>
          </cell>
          <cell r="G197">
            <v>74.872574775602217</v>
          </cell>
          <cell r="H197">
            <v>-1.4355505613103929</v>
          </cell>
          <cell r="J197">
            <v>67.742420497966762</v>
          </cell>
          <cell r="K197">
            <v>65.338996562287278</v>
          </cell>
          <cell r="L197">
            <v>-2.4034239356794842</v>
          </cell>
          <cell r="N197">
            <v>45.919653221856152</v>
          </cell>
          <cell r="O197">
            <v>43.342354457932188</v>
          </cell>
          <cell r="P197">
            <v>-2.5772987639239631</v>
          </cell>
          <cell r="R197">
            <v>62.496478980292274</v>
          </cell>
          <cell r="S197">
            <v>61.427141790094943</v>
          </cell>
          <cell r="T197">
            <v>-1.0693371901973308</v>
          </cell>
          <cell r="V197">
            <v>84.553109874407724</v>
          </cell>
          <cell r="W197">
            <v>84.433571433026785</v>
          </cell>
          <cell r="X197">
            <v>-0.11953844138093928</v>
          </cell>
          <cell r="Z197">
            <v>62.459450928425426</v>
          </cell>
        </row>
        <row r="199">
          <cell r="A199" t="str">
            <v>Capital &amp; Coast DHB</v>
          </cell>
          <cell r="B199">
            <v>167.81081839374795</v>
          </cell>
          <cell r="C199">
            <v>156.69755165308044</v>
          </cell>
          <cell r="D199">
            <v>-11.113266740667513</v>
          </cell>
          <cell r="F199">
            <v>74.962999633426278</v>
          </cell>
          <cell r="G199">
            <v>74.693173893479297</v>
          </cell>
          <cell r="H199">
            <v>-0.269825739946981</v>
          </cell>
          <cell r="J199">
            <v>70.577362432676452</v>
          </cell>
          <cell r="K199">
            <v>69.282364545939004</v>
          </cell>
          <cell r="L199">
            <v>-1.2949978867374483</v>
          </cell>
          <cell r="N199">
            <v>46.412084173675218</v>
          </cell>
          <cell r="O199">
            <v>45.657054321997485</v>
          </cell>
          <cell r="P199">
            <v>-0.75502985167773318</v>
          </cell>
          <cell r="R199">
            <v>64.922596087340295</v>
          </cell>
          <cell r="S199">
            <v>64.931607447520548</v>
          </cell>
          <cell r="T199">
            <v>9.0113601802528365E-3</v>
          </cell>
          <cell r="V199">
            <v>84.651237203374535</v>
          </cell>
          <cell r="W199">
            <v>83.972457557375421</v>
          </cell>
          <cell r="X199">
            <v>-0.67877964599911422</v>
          </cell>
          <cell r="Z199">
            <v>65.332995728603791</v>
          </cell>
        </row>
        <row r="200">
          <cell r="A200" t="str">
            <v>Hawke's Bay DHB</v>
          </cell>
          <cell r="B200">
            <v>153.33226557007606</v>
          </cell>
          <cell r="C200">
            <v>152.38535640569526</v>
          </cell>
          <cell r="D200">
            <v>-0.94690916438079853</v>
          </cell>
          <cell r="F200">
            <v>73.690317583649914</v>
          </cell>
          <cell r="G200">
            <v>73.701418517857661</v>
          </cell>
          <cell r="H200">
            <v>1.1100934207746604E-2</v>
          </cell>
          <cell r="J200">
            <v>67.972630410203649</v>
          </cell>
          <cell r="K200">
            <v>65.989672682529417</v>
          </cell>
          <cell r="L200">
            <v>-1.9829577276742327</v>
          </cell>
          <cell r="N200">
            <v>46.288944344576379</v>
          </cell>
          <cell r="O200">
            <v>47.321872881953077</v>
          </cell>
          <cell r="P200">
            <v>1.0329285373766979</v>
          </cell>
          <cell r="R200">
            <v>62.568922434844374</v>
          </cell>
          <cell r="S200">
            <v>64.205838564047156</v>
          </cell>
          <cell r="T200">
            <v>1.6369161292027812</v>
          </cell>
          <cell r="V200">
            <v>79.056248020878982</v>
          </cell>
          <cell r="W200">
            <v>78.724834447534406</v>
          </cell>
          <cell r="X200">
            <v>-0.33141357334457666</v>
          </cell>
          <cell r="Z200">
            <v>62.388593906839297</v>
          </cell>
        </row>
        <row r="201">
          <cell r="A201" t="str">
            <v>Hutt Valley DHB</v>
          </cell>
          <cell r="B201">
            <v>180.97424376772076</v>
          </cell>
          <cell r="C201">
            <v>185.7566373416457</v>
          </cell>
          <cell r="D201">
            <v>4.782393573924935</v>
          </cell>
          <cell r="F201">
            <v>76.055173204185593</v>
          </cell>
          <cell r="G201">
            <v>74.874104399545544</v>
          </cell>
          <cell r="H201">
            <v>-1.1810688046400486</v>
          </cell>
          <cell r="J201">
            <v>67.936377532279266</v>
          </cell>
          <cell r="K201">
            <v>66.605430168128805</v>
          </cell>
          <cell r="L201">
            <v>-1.330947364150461</v>
          </cell>
          <cell r="N201">
            <v>46.595818794038017</v>
          </cell>
          <cell r="O201">
            <v>45.583264593514762</v>
          </cell>
          <cell r="P201">
            <v>-1.0125542005232546</v>
          </cell>
          <cell r="R201">
            <v>62.25151761156414</v>
          </cell>
          <cell r="S201">
            <v>62.004241261049884</v>
          </cell>
          <cell r="T201">
            <v>-0.24727635051425523</v>
          </cell>
          <cell r="V201">
            <v>82.758602065602943</v>
          </cell>
          <cell r="W201">
            <v>82.455780724890701</v>
          </cell>
          <cell r="X201">
            <v>-0.3028213407122422</v>
          </cell>
          <cell r="Z201">
            <v>62.544081488638099</v>
          </cell>
        </row>
        <row r="202">
          <cell r="A202" t="str">
            <v>MidCentral DHB</v>
          </cell>
          <cell r="B202">
            <v>189.44749625459662</v>
          </cell>
          <cell r="C202">
            <v>185.39508573448828</v>
          </cell>
          <cell r="D202">
            <v>-4.0524105201083387</v>
          </cell>
          <cell r="F202">
            <v>75.638695070047049</v>
          </cell>
          <cell r="G202">
            <v>75.96307705705</v>
          </cell>
          <cell r="H202">
            <v>0.32438198700295118</v>
          </cell>
          <cell r="J202">
            <v>68.998190141594804</v>
          </cell>
          <cell r="K202">
            <v>64.707215917425685</v>
          </cell>
          <cell r="L202">
            <v>-4.2909742241691191</v>
          </cell>
          <cell r="N202">
            <v>44.063591426990094</v>
          </cell>
          <cell r="O202">
            <v>29.555860805860807</v>
          </cell>
          <cell r="P202">
            <v>-14.507730621129287</v>
          </cell>
          <cell r="R202">
            <v>55.898040114299597</v>
          </cell>
          <cell r="S202">
            <v>59.85048631088673</v>
          </cell>
          <cell r="T202">
            <v>3.9524461965871325</v>
          </cell>
          <cell r="V202">
            <v>84.293405553042788</v>
          </cell>
          <cell r="W202">
            <v>83.692415977476742</v>
          </cell>
          <cell r="X202">
            <v>-0.6009895755660466</v>
          </cell>
          <cell r="Z202">
            <v>60.7565898312562</v>
          </cell>
        </row>
        <row r="203">
          <cell r="A203" t="str">
            <v>Wairarapa DHB</v>
          </cell>
          <cell r="B203">
            <v>216.86074828425947</v>
          </cell>
          <cell r="C203">
            <v>196.40971733323082</v>
          </cell>
          <cell r="D203">
            <v>-20.451030951028656</v>
          </cell>
          <cell r="F203">
            <v>81.358698748378515</v>
          </cell>
          <cell r="G203">
            <v>78.07244750464028</v>
          </cell>
          <cell r="H203">
            <v>-3.286251243738235</v>
          </cell>
          <cell r="J203">
            <v>54.011144784436411</v>
          </cell>
          <cell r="K203">
            <v>65.561923162278163</v>
          </cell>
          <cell r="L203">
            <v>11.550778377841752</v>
          </cell>
          <cell r="N203">
            <v>56.337662337662337</v>
          </cell>
          <cell r="O203">
            <v>51.980149467448662</v>
          </cell>
          <cell r="P203">
            <v>-4.3575128702136752</v>
          </cell>
          <cell r="R203">
            <v>65.240641711229941</v>
          </cell>
          <cell r="S203">
            <v>61.812348733074387</v>
          </cell>
          <cell r="T203">
            <v>-3.4282929781555538</v>
          </cell>
          <cell r="V203">
            <v>81.316072947179435</v>
          </cell>
          <cell r="W203">
            <v>81.9604094959751</v>
          </cell>
          <cell r="X203">
            <v>0.64433654879566404</v>
          </cell>
          <cell r="Z203">
            <v>60.029182879377423</v>
          </cell>
        </row>
        <row r="204">
          <cell r="A204" t="str">
            <v>Whanganui DHB</v>
          </cell>
          <cell r="B204">
            <v>209.34471619750806</v>
          </cell>
          <cell r="C204">
            <v>204.33248276236492</v>
          </cell>
          <cell r="D204">
            <v>-5.0122334351431448</v>
          </cell>
          <cell r="F204">
            <v>73.538829520466038</v>
          </cell>
          <cell r="G204">
            <v>70.956624615819862</v>
          </cell>
          <cell r="H204">
            <v>-2.5822049046461757</v>
          </cell>
          <cell r="J204">
            <v>68.898974104725227</v>
          </cell>
          <cell r="K204">
            <v>69.883647515107782</v>
          </cell>
          <cell r="L204">
            <v>0.9846734103825554</v>
          </cell>
          <cell r="N204">
            <v>46.572381713104356</v>
          </cell>
          <cell r="O204">
            <v>43.058886224353849</v>
          </cell>
          <cell r="P204">
            <v>-3.5134954887505074</v>
          </cell>
          <cell r="R204">
            <v>59.147660172139801</v>
          </cell>
          <cell r="S204">
            <v>59.6839879390688</v>
          </cell>
          <cell r="T204">
            <v>0.53632776692899853</v>
          </cell>
          <cell r="V204">
            <v>83.593754892689603</v>
          </cell>
          <cell r="W204">
            <v>82.944019393719515</v>
          </cell>
          <cell r="X204">
            <v>-0.64973549897008809</v>
          </cell>
          <cell r="Z204">
            <v>62.442633698604489</v>
          </cell>
        </row>
        <row r="205">
          <cell r="A205" t="str">
            <v>Central Region Total</v>
          </cell>
          <cell r="B205">
            <v>174.51241040106015</v>
          </cell>
          <cell r="C205">
            <v>168.98094511674171</v>
          </cell>
          <cell r="D205">
            <v>-5.5314652843184433</v>
          </cell>
          <cell r="F205">
            <v>75.162047828228239</v>
          </cell>
          <cell r="G205">
            <v>74.624167289567978</v>
          </cell>
          <cell r="H205">
            <v>-0.53788053866026075</v>
          </cell>
          <cell r="J205">
            <v>68.526991234220105</v>
          </cell>
          <cell r="K205">
            <v>67.228519383680265</v>
          </cell>
          <cell r="L205">
            <v>-1.2984718505398405</v>
          </cell>
          <cell r="N205">
            <v>46.478331478849952</v>
          </cell>
          <cell r="O205">
            <v>44.799012336540798</v>
          </cell>
          <cell r="P205">
            <v>-1.6793191423091542</v>
          </cell>
          <cell r="R205">
            <v>61.802990796139468</v>
          </cell>
          <cell r="S205">
            <v>62.74181257710238</v>
          </cell>
          <cell r="T205">
            <v>0.93882178096291113</v>
          </cell>
          <cell r="V205">
            <v>83.10252355130774</v>
          </cell>
          <cell r="W205">
            <v>82.617858633003436</v>
          </cell>
          <cell r="X205">
            <v>-0.48466491830430414</v>
          </cell>
          <cell r="Z205">
            <v>63.036405383468669</v>
          </cell>
        </row>
        <row r="207">
          <cell r="A207" t="str">
            <v>Canterbury DHB</v>
          </cell>
          <cell r="B207">
            <v>191.21249685158753</v>
          </cell>
          <cell r="C207">
            <v>187.14740566037736</v>
          </cell>
          <cell r="D207">
            <v>-4.0650911912101719</v>
          </cell>
          <cell r="F207">
            <v>70.577937649880099</v>
          </cell>
          <cell r="G207">
            <v>72.47122302158273</v>
          </cell>
          <cell r="H207">
            <v>1.8932853717026319</v>
          </cell>
          <cell r="J207">
            <v>67.144924585375023</v>
          </cell>
          <cell r="K207">
            <v>67.039056742815035</v>
          </cell>
          <cell r="L207">
            <v>-0.10586784255998793</v>
          </cell>
          <cell r="N207">
            <v>45.86234624298897</v>
          </cell>
          <cell r="O207">
            <v>45.758620689655181</v>
          </cell>
          <cell r="P207">
            <v>-0.10372555333378841</v>
          </cell>
          <cell r="R207">
            <v>58.880522742621537</v>
          </cell>
          <cell r="S207">
            <v>58.908108108108109</v>
          </cell>
          <cell r="T207">
            <v>2.7585365486572755E-2</v>
          </cell>
          <cell r="V207">
            <v>81.290295905877741</v>
          </cell>
          <cell r="W207">
            <v>81.83297613944849</v>
          </cell>
          <cell r="X207">
            <v>0.54268023357074924</v>
          </cell>
          <cell r="Z207">
            <v>61.335244213490739</v>
          </cell>
        </row>
        <row r="208">
          <cell r="A208" t="str">
            <v>Nelson Marlborough DHB</v>
          </cell>
          <cell r="B208">
            <v>222.95255424280907</v>
          </cell>
          <cell r="C208">
            <v>231.03439797840136</v>
          </cell>
          <cell r="D208">
            <v>8.0818437355922867</v>
          </cell>
          <cell r="F208">
            <v>79.85292403746638</v>
          </cell>
          <cell r="G208">
            <v>77.600100521379161</v>
          </cell>
          <cell r="H208">
            <v>-2.2528235160872185</v>
          </cell>
          <cell r="J208">
            <v>59.759860351547083</v>
          </cell>
          <cell r="K208">
            <v>58.065806372096603</v>
          </cell>
          <cell r="L208">
            <v>-1.6940539794504801</v>
          </cell>
          <cell r="N208">
            <v>49.948779323921855</v>
          </cell>
          <cell r="O208">
            <v>46.863646845142057</v>
          </cell>
          <cell r="P208">
            <v>-3.0851324787797978</v>
          </cell>
          <cell r="R208">
            <v>61.969114316750414</v>
          </cell>
          <cell r="S208">
            <v>62.320187187014326</v>
          </cell>
          <cell r="T208">
            <v>0.35107287026391276</v>
          </cell>
          <cell r="V208">
            <v>82.139545884216886</v>
          </cell>
          <cell r="W208">
            <v>81.545130623153511</v>
          </cell>
          <cell r="X208">
            <v>-0.59441526106337506</v>
          </cell>
          <cell r="Z208">
            <v>59.544559006781654</v>
          </cell>
        </row>
        <row r="209">
          <cell r="A209" t="str">
            <v>South Canterbury DHB</v>
          </cell>
          <cell r="B209">
            <v>266.370820668693</v>
          </cell>
          <cell r="C209">
            <v>267.31034482758622</v>
          </cell>
          <cell r="D209">
            <v>0.93952415889322083</v>
          </cell>
          <cell r="F209">
            <v>77.917197452229303</v>
          </cell>
          <cell r="G209">
            <v>75.675159235668787</v>
          </cell>
          <cell r="H209">
            <v>-2.2420382165605162</v>
          </cell>
          <cell r="J209">
            <v>70.611063829787227</v>
          </cell>
          <cell r="K209">
            <v>67.571428571428569</v>
          </cell>
          <cell r="L209">
            <v>-3.0396352583586577</v>
          </cell>
          <cell r="N209">
            <v>42.210378681626928</v>
          </cell>
          <cell r="O209">
            <v>42.892857142857146</v>
          </cell>
          <cell r="P209">
            <v>0.68247846123021816</v>
          </cell>
          <cell r="R209">
            <v>64.131416837782339</v>
          </cell>
          <cell r="S209">
            <v>63.220198675496704</v>
          </cell>
          <cell r="T209">
            <v>-0.91121816228563546</v>
          </cell>
          <cell r="V209">
            <v>84.909387960286537</v>
          </cell>
          <cell r="W209">
            <v>86.264912817375333</v>
          </cell>
          <cell r="X209">
            <v>1.3555248570887954</v>
          </cell>
          <cell r="Z209">
            <v>61.737832188713043</v>
          </cell>
        </row>
        <row r="210">
          <cell r="A210" t="str">
            <v>Southern DHB</v>
          </cell>
          <cell r="B210">
            <v>213.75884904812835</v>
          </cell>
          <cell r="C210">
            <v>204.26589663078727</v>
          </cell>
          <cell r="D210">
            <v>-9.4929524173410869</v>
          </cell>
          <cell r="F210">
            <v>75.430414703550355</v>
          </cell>
          <cell r="G210">
            <v>75.838547664105803</v>
          </cell>
          <cell r="H210">
            <v>0.40813296055544868</v>
          </cell>
          <cell r="J210">
            <v>69.695540529411758</v>
          </cell>
          <cell r="K210">
            <v>66.910638446122206</v>
          </cell>
          <cell r="L210">
            <v>-2.7849020832895519</v>
          </cell>
          <cell r="N210">
            <v>49.262429960439562</v>
          </cell>
          <cell r="O210">
            <v>47.273168249591471</v>
          </cell>
          <cell r="P210">
            <v>-1.9892617108480906</v>
          </cell>
          <cell r="R210">
            <v>60.576921376312924</v>
          </cell>
          <cell r="S210">
            <v>59.109380598639113</v>
          </cell>
          <cell r="T210">
            <v>-1.4675407776738112</v>
          </cell>
          <cell r="V210">
            <v>88.327013062268833</v>
          </cell>
          <cell r="W210">
            <v>85.492800277732897</v>
          </cell>
          <cell r="X210">
            <v>-2.8342127845359357</v>
          </cell>
          <cell r="Z210">
            <v>63.176956867186654</v>
          </cell>
        </row>
        <row r="211">
          <cell r="A211" t="str">
            <v>West Coast DHB</v>
          </cell>
          <cell r="B211">
            <v>304.28681321242925</v>
          </cell>
          <cell r="C211">
            <v>264.48673913043484</v>
          </cell>
          <cell r="D211">
            <v>-39.80007408199441</v>
          </cell>
          <cell r="F211">
            <v>79.298809906722411</v>
          </cell>
          <cell r="G211">
            <v>75.280755870054662</v>
          </cell>
          <cell r="H211">
            <v>-4.0180540366677491</v>
          </cell>
          <cell r="J211">
            <v>62.295024953483917</v>
          </cell>
          <cell r="K211">
            <v>58.400916976456003</v>
          </cell>
          <cell r="L211">
            <v>-3.8941079770279146</v>
          </cell>
          <cell r="N211">
            <v>48.422662910657976</v>
          </cell>
          <cell r="O211">
            <v>45.669725400457665</v>
          </cell>
          <cell r="P211">
            <v>-2.7529375102003115</v>
          </cell>
          <cell r="R211">
            <v>61.21433998756649</v>
          </cell>
          <cell r="S211">
            <v>57.028532934131739</v>
          </cell>
          <cell r="T211">
            <v>-4.1858070534347505</v>
          </cell>
          <cell r="V211">
            <v>85.058110554345831</v>
          </cell>
          <cell r="W211">
            <v>77.272395079594801</v>
          </cell>
          <cell r="X211">
            <v>-7.7857154747510293</v>
          </cell>
          <cell r="Z211">
            <v>59.868318171768742</v>
          </cell>
        </row>
        <row r="212">
          <cell r="A212" t="str">
            <v>Southern Region Total</v>
          </cell>
          <cell r="B212">
            <v>206.66079995788297</v>
          </cell>
          <cell r="C212">
            <v>201.92317045059346</v>
          </cell>
          <cell r="D212">
            <v>-4.7376295072895118</v>
          </cell>
          <cell r="F212">
            <v>73.585549536533861</v>
          </cell>
          <cell r="G212">
            <v>74.162843800664916</v>
          </cell>
          <cell r="H212">
            <v>0.577294264131055</v>
          </cell>
          <cell r="J212">
            <v>66.130467714999526</v>
          </cell>
          <cell r="K212">
            <v>64.735848936350806</v>
          </cell>
          <cell r="L212">
            <v>-1.3946187786487201</v>
          </cell>
          <cell r="N212">
            <v>47.163784831732251</v>
          </cell>
          <cell r="O212">
            <v>46.083669251005752</v>
          </cell>
          <cell r="P212">
            <v>-1.080115580726499</v>
          </cell>
          <cell r="R212">
            <v>60.191099839116234</v>
          </cell>
          <cell r="S212">
            <v>59.555332975084994</v>
          </cell>
          <cell r="T212">
            <v>-0.63576686403123972</v>
          </cell>
          <cell r="V212">
            <v>83.587081150208007</v>
          </cell>
          <cell r="W212">
            <v>82.731988020395576</v>
          </cell>
          <cell r="X212">
            <v>-0.85509312981243113</v>
          </cell>
          <cell r="Z212">
            <v>61.452862092161929</v>
          </cell>
        </row>
        <row r="214">
          <cell r="A214" t="str">
            <v>TOTAL</v>
          </cell>
          <cell r="B214">
            <v>184.45844761360399</v>
          </cell>
          <cell r="C214">
            <v>181.33724025650821</v>
          </cell>
          <cell r="D214">
            <v>-3.1212073570957841</v>
          </cell>
          <cell r="F214">
            <v>75.691335489786695</v>
          </cell>
          <cell r="G214">
            <v>74.657866187463398</v>
          </cell>
          <cell r="H214">
            <v>-1.0334693023232973</v>
          </cell>
          <cell r="J214">
            <v>67.984443725496448</v>
          </cell>
          <cell r="K214">
            <v>66.682590067481925</v>
          </cell>
          <cell r="L214">
            <v>-1.3018536580145224</v>
          </cell>
          <cell r="N214">
            <v>48.419761694654007</v>
          </cell>
          <cell r="O214">
            <v>45.292613154864696</v>
          </cell>
          <cell r="P214">
            <v>-3.1271485397893102</v>
          </cell>
          <cell r="R214">
            <v>66.495297546153893</v>
          </cell>
          <cell r="S214">
            <v>66.363008190800485</v>
          </cell>
          <cell r="T214">
            <v>-0.13228935535340725</v>
          </cell>
          <cell r="V214">
            <v>85.591602183138747</v>
          </cell>
          <cell r="W214">
            <v>84.829774427091763</v>
          </cell>
          <cell r="X214">
            <v>-0.7618277560469835</v>
          </cell>
          <cell r="Z214">
            <v>65.11921089603112</v>
          </cell>
        </row>
        <row r="231">
          <cell r="A231" t="str">
            <v>Auckland DHB</v>
          </cell>
          <cell r="B231">
            <v>178.75517294804291</v>
          </cell>
          <cell r="C231">
            <v>170.71724508695115</v>
          </cell>
          <cell r="D231">
            <v>-8.0379278610917595</v>
          </cell>
          <cell r="F231">
            <v>74.951558591234388</v>
          </cell>
          <cell r="G231">
            <v>74.403175282675306</v>
          </cell>
          <cell r="H231">
            <v>-0.54838330855908168</v>
          </cell>
          <cell r="J231">
            <v>75.342278150289701</v>
          </cell>
          <cell r="K231">
            <v>70.062235972274465</v>
          </cell>
          <cell r="L231">
            <v>-5.2800421780152362</v>
          </cell>
          <cell r="N231">
            <v>46.741261741883456</v>
          </cell>
          <cell r="O231">
            <v>72.749262533668499</v>
          </cell>
          <cell r="P231">
            <v>26.008000791785044</v>
          </cell>
          <cell r="R231">
            <v>89.669538427488732</v>
          </cell>
          <cell r="S231">
            <v>93.081860785219462</v>
          </cell>
          <cell r="T231">
            <v>3.41232235773073</v>
          </cell>
          <cell r="V231">
            <v>97.77197751573452</v>
          </cell>
          <cell r="W231">
            <v>94.388375366246706</v>
          </cell>
          <cell r="X231">
            <v>-3.3836021494878139</v>
          </cell>
          <cell r="Z231">
            <v>77.534222663963007</v>
          </cell>
        </row>
        <row r="232">
          <cell r="A232" t="str">
            <v>Counties Manukau DHB</v>
          </cell>
          <cell r="B232">
            <v>167.35864395053187</v>
          </cell>
          <cell r="C232">
            <v>175.65154737008595</v>
          </cell>
          <cell r="D232">
            <v>8.2929034195540794</v>
          </cell>
          <cell r="F232">
            <v>78.59868042632381</v>
          </cell>
          <cell r="G232">
            <v>76.484114363051944</v>
          </cell>
          <cell r="H232">
            <v>-2.1145660632718659</v>
          </cell>
          <cell r="J232">
            <v>67.774196012527682</v>
          </cell>
          <cell r="K232">
            <v>68.543183385700047</v>
          </cell>
          <cell r="L232">
            <v>0.7689873731723651</v>
          </cell>
          <cell r="N232">
            <v>48.323130569546684</v>
          </cell>
          <cell r="O232">
            <v>52.838930774503083</v>
          </cell>
          <cell r="P232">
            <v>4.515800204956399</v>
          </cell>
          <cell r="R232">
            <v>75.750535878330098</v>
          </cell>
          <cell r="S232">
            <v>72.298953548214939</v>
          </cell>
          <cell r="T232">
            <v>-3.4515823301151585</v>
          </cell>
          <cell r="V232">
            <v>86.338716938660667</v>
          </cell>
          <cell r="W232">
            <v>89.229240917765367</v>
          </cell>
          <cell r="X232">
            <v>2.8905239791046995</v>
          </cell>
          <cell r="Z232">
            <v>66.980534759358292</v>
          </cell>
        </row>
        <row r="233">
          <cell r="A233" t="str">
            <v>Northland DHB</v>
          </cell>
          <cell r="B233">
            <v>203.19613753150045</v>
          </cell>
          <cell r="C233">
            <v>203.10392665680658</v>
          </cell>
          <cell r="D233">
            <v>-9.2210874693876121E-2</v>
          </cell>
          <cell r="F233">
            <v>77.445884264682761</v>
          </cell>
          <cell r="G233">
            <v>77.023761767702339</v>
          </cell>
          <cell r="H233">
            <v>-0.42212249698042115</v>
          </cell>
          <cell r="J233">
            <v>67.331650172751381</v>
          </cell>
          <cell r="K233">
            <v>67.260327326586037</v>
          </cell>
          <cell r="L233">
            <v>-7.1322846165344345E-2</v>
          </cell>
          <cell r="N233">
            <v>46.522116243842213</v>
          </cell>
          <cell r="O233">
            <v>46.631929213483154</v>
          </cell>
          <cell r="P233">
            <v>0.10981296964094156</v>
          </cell>
          <cell r="R233">
            <v>69.432516290140953</v>
          </cell>
          <cell r="S233">
            <v>67.206379015693074</v>
          </cell>
          <cell r="T233">
            <v>-2.2261372744478791</v>
          </cell>
          <cell r="V233">
            <v>85.036307800729816</v>
          </cell>
          <cell r="W233">
            <v>86.863145452602026</v>
          </cell>
          <cell r="X233">
            <v>1.8268376518722107</v>
          </cell>
          <cell r="Z233">
            <v>66.357236597480878</v>
          </cell>
        </row>
        <row r="234">
          <cell r="A234" t="str">
            <v>Waitemata DHB</v>
          </cell>
          <cell r="B234">
            <v>173.88052555450838</v>
          </cell>
          <cell r="C234">
            <v>165.72746083357967</v>
          </cell>
          <cell r="D234">
            <v>-8.153064720928711</v>
          </cell>
          <cell r="F234">
            <v>75.944205936889233</v>
          </cell>
          <cell r="G234">
            <v>74.251941934082822</v>
          </cell>
          <cell r="H234">
            <v>-1.6922640028064109</v>
          </cell>
          <cell r="J234">
            <v>66.553095364744308</v>
          </cell>
          <cell r="K234">
            <v>63.968899917287011</v>
          </cell>
          <cell r="L234">
            <v>-2.5841954474572972</v>
          </cell>
          <cell r="N234">
            <v>46.061635282952899</v>
          </cell>
          <cell r="O234">
            <v>44.02890862684022</v>
          </cell>
          <cell r="P234">
            <v>-2.0327266561126791</v>
          </cell>
          <cell r="R234">
            <v>72.388937617173042</v>
          </cell>
          <cell r="S234">
            <v>68.807526852216014</v>
          </cell>
          <cell r="T234">
            <v>-3.5814107649570275</v>
          </cell>
          <cell r="V234">
            <v>85.937583328721416</v>
          </cell>
          <cell r="W234">
            <v>82.126844719762474</v>
          </cell>
          <cell r="X234">
            <v>-3.8107386089589426</v>
          </cell>
          <cell r="Z234">
            <v>66.23579404815105</v>
          </cell>
        </row>
        <row r="235">
          <cell r="A235" t="str">
            <v>Northern Region Total</v>
          </cell>
          <cell r="B235">
            <v>176.17225246592949</v>
          </cell>
          <cell r="C235">
            <v>173.0732614454742</v>
          </cell>
          <cell r="D235">
            <v>-3.0989910204552871</v>
          </cell>
          <cell r="F235">
            <v>76.434878623794702</v>
          </cell>
          <cell r="G235">
            <v>75.174839585253366</v>
          </cell>
          <cell r="H235">
            <v>-1.2600390385413363</v>
          </cell>
          <cell r="J235">
            <v>70.046452780403342</v>
          </cell>
          <cell r="K235">
            <v>67.579122490323769</v>
          </cell>
          <cell r="L235">
            <v>-2.4673302900795733</v>
          </cell>
          <cell r="N235">
            <v>47.18130555964418</v>
          </cell>
          <cell r="O235">
            <v>53.209249133084242</v>
          </cell>
          <cell r="P235">
            <v>6.0279435734400622</v>
          </cell>
          <cell r="R235">
            <v>79.132705125894901</v>
          </cell>
          <cell r="S235">
            <v>78.13239882799445</v>
          </cell>
          <cell r="T235">
            <v>-1.0003062979004511</v>
          </cell>
          <cell r="V235">
            <v>90.255785789028792</v>
          </cell>
          <cell r="W235">
            <v>88.961709594903695</v>
          </cell>
          <cell r="X235">
            <v>-1.2940761941250969</v>
          </cell>
          <cell r="Z235">
            <v>70.38740643743246</v>
          </cell>
        </row>
        <row r="237">
          <cell r="A237" t="str">
            <v>Bay of Plenty DHB</v>
          </cell>
          <cell r="B237">
            <v>201.14368650217708</v>
          </cell>
          <cell r="C237">
            <v>198.6127946127946</v>
          </cell>
          <cell r="D237">
            <v>-2.5308918893824739</v>
          </cell>
          <cell r="F237">
            <v>77.937142857142859</v>
          </cell>
          <cell r="G237">
            <v>76.300952380952381</v>
          </cell>
          <cell r="H237">
            <v>-1.6361904761904782</v>
          </cell>
          <cell r="J237">
            <v>67.746115953012506</v>
          </cell>
          <cell r="K237">
            <v>69.724640388567167</v>
          </cell>
          <cell r="L237">
            <v>1.978524435554661</v>
          </cell>
          <cell r="N237">
            <v>45.738045738045741</v>
          </cell>
          <cell r="O237">
            <v>45.818965517241381</v>
          </cell>
          <cell r="P237">
            <v>8.0919779195639308E-2</v>
          </cell>
          <cell r="R237">
            <v>63.36</v>
          </cell>
          <cell r="S237">
            <v>63.006772009029348</v>
          </cell>
          <cell r="T237">
            <v>-0.35322799097065172</v>
          </cell>
          <cell r="V237">
            <v>85.128097877235177</v>
          </cell>
          <cell r="W237">
            <v>86.490983170947729</v>
          </cell>
          <cell r="X237">
            <v>1.3628852937125515</v>
          </cell>
          <cell r="Z237">
            <v>63.172402437016309</v>
          </cell>
        </row>
        <row r="238">
          <cell r="A238" t="str">
            <v>Lakes DHB</v>
          </cell>
          <cell r="B238">
            <v>199.11724137931034</v>
          </cell>
          <cell r="C238">
            <v>201.06886103688458</v>
          </cell>
          <cell r="D238">
            <v>1.9516196575742413</v>
          </cell>
          <cell r="F238">
            <v>77.960912590850327</v>
          </cell>
          <cell r="G238">
            <v>76.170279235158574</v>
          </cell>
          <cell r="H238">
            <v>-1.7906333556917531</v>
          </cell>
          <cell r="J238">
            <v>70.392505854800945</v>
          </cell>
          <cell r="K238">
            <v>69.653691275167802</v>
          </cell>
          <cell r="L238">
            <v>-0.7388145796331429</v>
          </cell>
          <cell r="N238">
            <v>46.029139072847684</v>
          </cell>
          <cell r="O238">
            <v>46.269894124522629</v>
          </cell>
          <cell r="P238">
            <v>0.24075505167494526</v>
          </cell>
          <cell r="R238">
            <v>64.764829030006979</v>
          </cell>
          <cell r="S238">
            <v>64.045509843902622</v>
          </cell>
          <cell r="T238">
            <v>-0.7193191861043573</v>
          </cell>
          <cell r="V238">
            <v>87.293001912045895</v>
          </cell>
          <cell r="W238">
            <v>87.716332210051064</v>
          </cell>
          <cell r="X238">
            <v>0.42333029800516897</v>
          </cell>
          <cell r="Z238">
            <v>64.394718554551773</v>
          </cell>
        </row>
        <row r="239">
          <cell r="A239" t="str">
            <v>Tairawhiti DHB</v>
          </cell>
          <cell r="B239">
            <v>265.36690647482015</v>
          </cell>
          <cell r="C239">
            <v>261.28267254038172</v>
          </cell>
          <cell r="D239">
            <v>-4.08423393443843</v>
          </cell>
          <cell r="F239">
            <v>81.027559055118104</v>
          </cell>
          <cell r="G239">
            <v>79.410275590551194</v>
          </cell>
          <cell r="H239">
            <v>-1.6172834645669099</v>
          </cell>
          <cell r="J239">
            <v>67.275213675213678</v>
          </cell>
          <cell r="K239">
            <v>69.735771812080529</v>
          </cell>
          <cell r="L239">
            <v>2.460558136866851</v>
          </cell>
          <cell r="N239">
            <v>51.84466019417475</v>
          </cell>
          <cell r="O239">
            <v>45.996205962059626</v>
          </cell>
          <cell r="P239">
            <v>-5.8484542321151238</v>
          </cell>
          <cell r="R239">
            <v>59.007415858528233</v>
          </cell>
          <cell r="S239">
            <v>63.399668824326341</v>
          </cell>
          <cell r="T239">
            <v>4.3922529657981073</v>
          </cell>
          <cell r="V239">
            <v>90.794037589112122</v>
          </cell>
          <cell r="W239">
            <v>92.585434038656203</v>
          </cell>
          <cell r="X239">
            <v>1.7913964495440808</v>
          </cell>
          <cell r="Z239">
            <v>62.516962843295637</v>
          </cell>
        </row>
        <row r="240">
          <cell r="A240" t="str">
            <v>Taranaki DHB</v>
          </cell>
          <cell r="B240">
            <v>198.65473190232032</v>
          </cell>
          <cell r="C240">
            <v>169.39596274715294</v>
          </cell>
          <cell r="D240">
            <v>-29.258769155167386</v>
          </cell>
          <cell r="F240">
            <v>78.9638313861619</v>
          </cell>
          <cell r="G240">
            <v>74.232692736746927</v>
          </cell>
          <cell r="H240">
            <v>-4.731138649414973</v>
          </cell>
          <cell r="J240">
            <v>66.838338428340236</v>
          </cell>
          <cell r="K240">
            <v>62.8633041051596</v>
          </cell>
          <cell r="L240">
            <v>-3.9750343231806369</v>
          </cell>
          <cell r="N240">
            <v>45.955429291741538</v>
          </cell>
          <cell r="O240">
            <v>43.285714285714285</v>
          </cell>
          <cell r="P240">
            <v>-2.6697150060272534</v>
          </cell>
          <cell r="R240">
            <v>67.513649243244473</v>
          </cell>
          <cell r="S240">
            <v>67.323682252591951</v>
          </cell>
          <cell r="T240">
            <v>-0.18996699065252187</v>
          </cell>
          <cell r="V240">
            <v>83.799797096748634</v>
          </cell>
          <cell r="W240">
            <v>80.268487673508972</v>
          </cell>
          <cell r="X240">
            <v>-3.5313094232396622</v>
          </cell>
          <cell r="Z240">
            <v>64.124654023577648</v>
          </cell>
        </row>
        <row r="241">
          <cell r="A241" t="str">
            <v>Waikato DHB</v>
          </cell>
          <cell r="B241">
            <v>202.67369136976782</v>
          </cell>
          <cell r="C241">
            <v>200.83121999261357</v>
          </cell>
          <cell r="D241">
            <v>-1.8424713771542542</v>
          </cell>
          <cell r="F241">
            <v>77.117448323464245</v>
          </cell>
          <cell r="G241">
            <v>78.076506702510272</v>
          </cell>
          <cell r="H241">
            <v>0.9590583790460272</v>
          </cell>
          <cell r="J241">
            <v>67.462828469562922</v>
          </cell>
          <cell r="K241">
            <v>68.746987951807228</v>
          </cell>
          <cell r="L241">
            <v>1.2841594822443057</v>
          </cell>
          <cell r="N241">
            <v>44.603262413468293</v>
          </cell>
          <cell r="O241">
            <v>44.585414091470952</v>
          </cell>
          <cell r="P241">
            <v>-1.7848321997341543E-2</v>
          </cell>
          <cell r="R241">
            <v>63.100821750653026</v>
          </cell>
          <cell r="S241">
            <v>63.424698091156998</v>
          </cell>
          <cell r="T241">
            <v>0.32387634050397196</v>
          </cell>
          <cell r="V241">
            <v>86.648118365932888</v>
          </cell>
          <cell r="W241">
            <v>86.79370987252257</v>
          </cell>
          <cell r="X241">
            <v>0.14559150658968179</v>
          </cell>
          <cell r="Z241">
            <v>62.21813546664837</v>
          </cell>
        </row>
        <row r="242">
          <cell r="A242" t="str">
            <v>Midland Region Total</v>
          </cell>
          <cell r="B242">
            <v>204.81036392649469</v>
          </cell>
          <cell r="C242">
            <v>199.67165919365749</v>
          </cell>
          <cell r="D242">
            <v>-5.1387047328371978</v>
          </cell>
          <cell r="F242">
            <v>77.824151269242336</v>
          </cell>
          <cell r="G242">
            <v>77.097672704436391</v>
          </cell>
          <cell r="H242">
            <v>-0.72647856480594442</v>
          </cell>
          <cell r="J242">
            <v>67.706710142440372</v>
          </cell>
          <cell r="K242">
            <v>68.448043462669617</v>
          </cell>
          <cell r="L242">
            <v>0.74133332022924492</v>
          </cell>
          <cell r="N242">
            <v>45.357693372067686</v>
          </cell>
          <cell r="O242">
            <v>44.8500318149948</v>
          </cell>
          <cell r="P242">
            <v>-0.50766155707288618</v>
          </cell>
          <cell r="R242">
            <v>63.64953448603459</v>
          </cell>
          <cell r="S242">
            <v>63.946726890079063</v>
          </cell>
          <cell r="T242">
            <v>0.29719240404447334</v>
          </cell>
          <cell r="V242">
            <v>86.271964627047254</v>
          </cell>
          <cell r="W242">
            <v>86.351404631124353</v>
          </cell>
          <cell r="X242">
            <v>7.9440004077099502E-2</v>
          </cell>
          <cell r="Z242">
            <v>62.906756234434468</v>
          </cell>
        </row>
        <row r="244">
          <cell r="A244" t="str">
            <v>Capital &amp; Coast DHB</v>
          </cell>
          <cell r="B244">
            <v>170.13401719592972</v>
          </cell>
          <cell r="C244">
            <v>154.66068460788915</v>
          </cell>
          <cell r="D244">
            <v>-15.473332588040563</v>
          </cell>
          <cell r="F244">
            <v>78.450173267457217</v>
          </cell>
          <cell r="G244">
            <v>73.39611326138423</v>
          </cell>
          <cell r="H244">
            <v>-5.0540600060729872</v>
          </cell>
          <cell r="J244">
            <v>70.393853385557293</v>
          </cell>
          <cell r="K244">
            <v>68.997739920858109</v>
          </cell>
          <cell r="L244">
            <v>-1.3961134646991837</v>
          </cell>
          <cell r="N244">
            <v>44.926217501997378</v>
          </cell>
          <cell r="O244">
            <v>44.001306010204637</v>
          </cell>
          <cell r="P244">
            <v>-0.92491149179274146</v>
          </cell>
          <cell r="R244">
            <v>64.725855238484726</v>
          </cell>
          <cell r="S244">
            <v>65.228503370296835</v>
          </cell>
          <cell r="T244">
            <v>0.50264813181210855</v>
          </cell>
          <cell r="V244">
            <v>86.122695375203037</v>
          </cell>
          <cell r="W244">
            <v>83.681397675701675</v>
          </cell>
          <cell r="X244">
            <v>-2.4412976995013622</v>
          </cell>
          <cell r="Z244">
            <v>65.030577998484148</v>
          </cell>
        </row>
        <row r="245">
          <cell r="A245" t="str">
            <v>Hawke's Bay DHB</v>
          </cell>
          <cell r="B245">
            <v>160.63251320947251</v>
          </cell>
          <cell r="C245">
            <v>163.58474209320087</v>
          </cell>
          <cell r="D245">
            <v>2.9522288837283668</v>
          </cell>
          <cell r="F245">
            <v>77.223783557657313</v>
          </cell>
          <cell r="G245">
            <v>77.380457536073706</v>
          </cell>
          <cell r="H245">
            <v>0.15667397841639286</v>
          </cell>
          <cell r="J245">
            <v>68.080169084561263</v>
          </cell>
          <cell r="K245">
            <v>68.701302615012111</v>
          </cell>
          <cell r="L245">
            <v>0.62113353045084807</v>
          </cell>
          <cell r="N245">
            <v>45.929506424891528</v>
          </cell>
          <cell r="O245">
            <v>46.164682683982697</v>
          </cell>
          <cell r="P245">
            <v>0.23517625909116902</v>
          </cell>
          <cell r="R245">
            <v>63.257327397185023</v>
          </cell>
          <cell r="S245">
            <v>62.589254260780301</v>
          </cell>
          <cell r="T245">
            <v>-0.66807313640472188</v>
          </cell>
          <cell r="V245">
            <v>80.760489403070721</v>
          </cell>
          <cell r="W245">
            <v>81.767019416087194</v>
          </cell>
          <cell r="X245">
            <v>1.0065300130164729</v>
          </cell>
          <cell r="Z245">
            <v>62.698178796772758</v>
          </cell>
        </row>
        <row r="246">
          <cell r="A246" t="str">
            <v>Hutt Valley DHB</v>
          </cell>
          <cell r="B246">
            <v>188.41427230452189</v>
          </cell>
          <cell r="C246">
            <v>191.24624477788527</v>
          </cell>
          <cell r="D246">
            <v>2.8319724733633791</v>
          </cell>
          <cell r="F246">
            <v>79.772450852980754</v>
          </cell>
          <cell r="G246">
            <v>75.632192809146474</v>
          </cell>
          <cell r="H246">
            <v>-4.1402580438342795</v>
          </cell>
          <cell r="J246">
            <v>67.800131583503585</v>
          </cell>
          <cell r="K246">
            <v>66.928576603377422</v>
          </cell>
          <cell r="L246">
            <v>-0.87155498012616306</v>
          </cell>
          <cell r="N246">
            <v>47.31738383340744</v>
          </cell>
          <cell r="O246">
            <v>47.095795420124716</v>
          </cell>
          <cell r="P246">
            <v>-0.22158841328272416</v>
          </cell>
          <cell r="R246">
            <v>59.481964667645997</v>
          </cell>
          <cell r="S246">
            <v>63.820700254927395</v>
          </cell>
          <cell r="T246">
            <v>4.3387355872813984</v>
          </cell>
          <cell r="V246">
            <v>83.778259753093579</v>
          </cell>
          <cell r="W246">
            <v>83.985487047198589</v>
          </cell>
          <cell r="X246">
            <v>0.20722729410501017</v>
          </cell>
          <cell r="Z246">
            <v>61.610115447234236</v>
          </cell>
        </row>
        <row r="247">
          <cell r="A247" t="str">
            <v>MidCentral DHB</v>
          </cell>
          <cell r="B247">
            <v>192.53445381065359</v>
          </cell>
          <cell r="C247">
            <v>188.57876712328766</v>
          </cell>
          <cell r="D247">
            <v>-3.955686687365926</v>
          </cell>
          <cell r="F247">
            <v>77.645230439442656</v>
          </cell>
          <cell r="G247">
            <v>77.889603429796352</v>
          </cell>
          <cell r="H247">
            <v>0.2443729903536962</v>
          </cell>
          <cell r="J247">
            <v>68.463165405295214</v>
          </cell>
          <cell r="K247">
            <v>69.200514138817482</v>
          </cell>
          <cell r="L247">
            <v>0.73734873352226771</v>
          </cell>
          <cell r="N247">
            <v>43.933077245171042</v>
          </cell>
          <cell r="O247">
            <v>43.255319148936174</v>
          </cell>
          <cell r="P247">
            <v>-0.67775809623486793</v>
          </cell>
          <cell r="R247">
            <v>55.496220429897427</v>
          </cell>
          <cell r="S247">
            <v>54.942687747035571</v>
          </cell>
          <cell r="T247">
            <v>-0.55353268286185653</v>
          </cell>
          <cell r="V247">
            <v>85.470827654580106</v>
          </cell>
          <cell r="W247">
            <v>85.135671435163815</v>
          </cell>
          <cell r="X247">
            <v>-0.33515621941629092</v>
          </cell>
          <cell r="Z247">
            <v>60.405741544359131</v>
          </cell>
        </row>
        <row r="248">
          <cell r="A248" t="str">
            <v>Wairarapa DHB</v>
          </cell>
          <cell r="B248">
            <v>226.68277730655842</v>
          </cell>
          <cell r="C248">
            <v>209.53276588394513</v>
          </cell>
          <cell r="D248">
            <v>-17.150011422613289</v>
          </cell>
          <cell r="F248">
            <v>81.147730254302985</v>
          </cell>
          <cell r="G248">
            <v>78.468661056497112</v>
          </cell>
          <cell r="H248">
            <v>-2.6790691978058732</v>
          </cell>
          <cell r="J248">
            <v>66.748956139065172</v>
          </cell>
          <cell r="K248">
            <v>67.54784749917512</v>
          </cell>
          <cell r="L248">
            <v>0.79889136010994832</v>
          </cell>
          <cell r="N248">
            <v>52.572332593020775</v>
          </cell>
          <cell r="O248">
            <v>53.242037294599648</v>
          </cell>
          <cell r="P248">
            <v>0.66970470157887263</v>
          </cell>
          <cell r="R248">
            <v>62.620874446741269</v>
          </cell>
          <cell r="S248">
            <v>62.053776931339129</v>
          </cell>
          <cell r="T248">
            <v>-0.56709751540213915</v>
          </cell>
          <cell r="V248">
            <v>85.120929835056842</v>
          </cell>
          <cell r="W248">
            <v>84.660495017361598</v>
          </cell>
          <cell r="X248">
            <v>-0.46043481769524419</v>
          </cell>
          <cell r="Z248">
            <v>63.416904557857748</v>
          </cell>
        </row>
        <row r="249">
          <cell r="A249" t="str">
            <v>Whanganui DHB</v>
          </cell>
          <cell r="B249">
            <v>212.1706945351622</v>
          </cell>
          <cell r="C249">
            <v>218.09884298408096</v>
          </cell>
          <cell r="D249">
            <v>5.9281484489187619</v>
          </cell>
          <cell r="F249">
            <v>75.71741580475431</v>
          </cell>
          <cell r="G249">
            <v>74.065323654146397</v>
          </cell>
          <cell r="H249">
            <v>-1.6520921506079134</v>
          </cell>
          <cell r="J249">
            <v>69.622885001433886</v>
          </cell>
          <cell r="K249">
            <v>69.103224440838218</v>
          </cell>
          <cell r="L249">
            <v>-0.51966056059566768</v>
          </cell>
          <cell r="N249">
            <v>44.996741255702801</v>
          </cell>
          <cell r="O249">
            <v>47.14389009399855</v>
          </cell>
          <cell r="P249">
            <v>2.1471488382957489</v>
          </cell>
          <cell r="R249">
            <v>60.378413825026996</v>
          </cell>
          <cell r="S249">
            <v>59.387278628779676</v>
          </cell>
          <cell r="T249">
            <v>-0.99113519624732049</v>
          </cell>
          <cell r="V249">
            <v>85.863389613956684</v>
          </cell>
          <cell r="W249">
            <v>85.977903355161629</v>
          </cell>
          <cell r="X249">
            <v>0.11451374120494506</v>
          </cell>
          <cell r="Z249">
            <v>63.378274084111176</v>
          </cell>
        </row>
        <row r="250">
          <cell r="A250" t="str">
            <v>Central Region Total</v>
          </cell>
          <cell r="B250">
            <v>178.80681491430656</v>
          </cell>
          <cell r="C250">
            <v>171.99252228346396</v>
          </cell>
          <cell r="D250">
            <v>-6.8142926308426013</v>
          </cell>
          <cell r="F250">
            <v>78.176030401208692</v>
          </cell>
          <cell r="G250">
            <v>75.450940674860362</v>
          </cell>
          <cell r="H250">
            <v>-2.7250897263483296</v>
          </cell>
          <cell r="J250">
            <v>68.946002013425627</v>
          </cell>
          <cell r="K250">
            <v>68.520067298587762</v>
          </cell>
          <cell r="L250">
            <v>-0.42593471483786516</v>
          </cell>
          <cell r="N250">
            <v>45.904317958522562</v>
          </cell>
          <cell r="O250">
            <v>45.600693455870108</v>
          </cell>
          <cell r="P250">
            <v>-0.303624502652454</v>
          </cell>
          <cell r="R250">
            <v>61.348076855827607</v>
          </cell>
          <cell r="S250">
            <v>61.758707167511204</v>
          </cell>
          <cell r="T250">
            <v>0.41063031168359743</v>
          </cell>
          <cell r="V250">
            <v>84.662079215458661</v>
          </cell>
          <cell r="W250">
            <v>83.861957640127287</v>
          </cell>
          <cell r="X250">
            <v>-0.8001215753313744</v>
          </cell>
          <cell r="Z250">
            <v>62.969926410188862</v>
          </cell>
        </row>
        <row r="252">
          <cell r="A252" t="str">
            <v>Canterbury DHB</v>
          </cell>
          <cell r="B252">
            <v>186.32683487187788</v>
          </cell>
          <cell r="C252">
            <v>198.5807962529274</v>
          </cell>
          <cell r="D252">
            <v>12.253961381049521</v>
          </cell>
          <cell r="F252">
            <v>73.955331771274743</v>
          </cell>
          <cell r="G252">
            <v>73.528191834089441</v>
          </cell>
          <cell r="H252">
            <v>-0.42713993718530219</v>
          </cell>
          <cell r="J252">
            <v>66.552805112340593</v>
          </cell>
          <cell r="K252">
            <v>69.410087719298247</v>
          </cell>
          <cell r="L252">
            <v>2.8572826069576536</v>
          </cell>
          <cell r="N252">
            <v>47.11834517618103</v>
          </cell>
          <cell r="O252">
            <v>47.195034614466465</v>
          </cell>
          <cell r="P252">
            <v>7.6689438285434619E-2</v>
          </cell>
          <cell r="R252">
            <v>61.37178912193378</v>
          </cell>
          <cell r="S252">
            <v>61.652731245447917</v>
          </cell>
          <cell r="T252">
            <v>0.28094212351413717</v>
          </cell>
          <cell r="V252">
            <v>81.815473045073176</v>
          </cell>
          <cell r="W252">
            <v>84.632861477432371</v>
          </cell>
          <cell r="X252">
            <v>2.8173884323591949</v>
          </cell>
          <cell r="Z252">
            <v>62.145797331975523</v>
          </cell>
        </row>
        <row r="253">
          <cell r="A253" t="str">
            <v>Nelson Marlborough DHB</v>
          </cell>
          <cell r="B253">
            <v>232.40048119844118</v>
          </cell>
          <cell r="C253">
            <v>228.63406706692965</v>
          </cell>
          <cell r="D253">
            <v>-3.7664141315115387</v>
          </cell>
          <cell r="F253">
            <v>80.950638507976777</v>
          </cell>
          <cell r="G253">
            <v>79.77835774898513</v>
          </cell>
          <cell r="H253">
            <v>-1.1722807589916471</v>
          </cell>
          <cell r="J253">
            <v>59.79157802409474</v>
          </cell>
          <cell r="K253">
            <v>60.419670105939211</v>
          </cell>
          <cell r="L253">
            <v>0.62809208184447129</v>
          </cell>
          <cell r="N253">
            <v>47.436335207804781</v>
          </cell>
          <cell r="O253">
            <v>47.563560919741221</v>
          </cell>
          <cell r="P253">
            <v>0.12722571193643972</v>
          </cell>
          <cell r="R253">
            <v>63.20431343391953</v>
          </cell>
          <cell r="S253">
            <v>63.831847823663239</v>
          </cell>
          <cell r="T253">
            <v>0.62753438974370823</v>
          </cell>
          <cell r="V253">
            <v>83.111018079042907</v>
          </cell>
          <cell r="W253">
            <v>83.774263868648205</v>
          </cell>
          <cell r="X253">
            <v>0.66324578960529834</v>
          </cell>
          <cell r="Z253">
            <v>59.785812136358409</v>
          </cell>
        </row>
        <row r="254">
          <cell r="A254" t="str">
            <v>South Canterbury DHB</v>
          </cell>
          <cell r="B254">
            <v>260.4408886842408</v>
          </cell>
          <cell r="C254">
            <v>269.76271186440675</v>
          </cell>
          <cell r="D254">
            <v>9.3218231801659499</v>
          </cell>
          <cell r="F254">
            <v>76.532710280373834</v>
          </cell>
          <cell r="G254">
            <v>76.884735202492209</v>
          </cell>
          <cell r="H254">
            <v>0.35202492211837466</v>
          </cell>
          <cell r="J254">
            <v>68.947402981154383</v>
          </cell>
          <cell r="K254">
            <v>71.867924528301884</v>
          </cell>
          <cell r="L254">
            <v>2.9205215471475015</v>
          </cell>
          <cell r="N254">
            <v>41.945575316048853</v>
          </cell>
          <cell r="O254">
            <v>42.107142857142854</v>
          </cell>
          <cell r="P254">
            <v>0.1615675410940014</v>
          </cell>
          <cell r="R254">
            <v>63.036935704514363</v>
          </cell>
          <cell r="S254">
            <v>63.862231182795696</v>
          </cell>
          <cell r="T254">
            <v>0.82529547828133332</v>
          </cell>
          <cell r="V254">
            <v>85.007598385998008</v>
          </cell>
          <cell r="W254">
            <v>87.824199199199199</v>
          </cell>
          <cell r="X254">
            <v>2.816600813201191</v>
          </cell>
          <cell r="Z254">
            <v>60.799261619290199</v>
          </cell>
        </row>
        <row r="255">
          <cell r="A255" t="str">
            <v>Southern DHB</v>
          </cell>
          <cell r="B255">
            <v>213.7925689623128</v>
          </cell>
          <cell r="C255">
            <v>208.28657631707151</v>
          </cell>
          <cell r="D255">
            <v>-5.5059926452412924</v>
          </cell>
          <cell r="F255">
            <v>77.209882902118679</v>
          </cell>
          <cell r="G255">
            <v>76.422068108178621</v>
          </cell>
          <cell r="H255">
            <v>-0.78781479394005771</v>
          </cell>
          <cell r="J255">
            <v>69.042084544792402</v>
          </cell>
          <cell r="K255">
            <v>69.933608690963226</v>
          </cell>
          <cell r="L255">
            <v>0.89152414617082343</v>
          </cell>
          <cell r="N255">
            <v>48.206007006535948</v>
          </cell>
          <cell r="O255">
            <v>48.763741748461577</v>
          </cell>
          <cell r="P255">
            <v>0.55773474192562844</v>
          </cell>
          <cell r="R255">
            <v>60.978365149715117</v>
          </cell>
          <cell r="S255">
            <v>64.420853903882232</v>
          </cell>
          <cell r="T255">
            <v>3.4424887541671154</v>
          </cell>
          <cell r="V255">
            <v>88.908877535909795</v>
          </cell>
          <cell r="W255">
            <v>88.76996840293512</v>
          </cell>
          <cell r="X255">
            <v>-0.13890913297467478</v>
          </cell>
          <cell r="Z255">
            <v>62.954531608987324</v>
          </cell>
        </row>
        <row r="256">
          <cell r="A256" t="str">
            <v>West Coast DHB</v>
          </cell>
          <cell r="B256">
            <v>316.57414095552582</v>
          </cell>
          <cell r="C256">
            <v>265.62774785557554</v>
          </cell>
          <cell r="D256">
            <v>-50.946393099950285</v>
          </cell>
          <cell r="F256">
            <v>79.141619565791572</v>
          </cell>
          <cell r="G256">
            <v>76.337761343827594</v>
          </cell>
          <cell r="H256">
            <v>-2.8038582219639778</v>
          </cell>
          <cell r="J256">
            <v>60.373540055224922</v>
          </cell>
          <cell r="K256">
            <v>61.755644496259094</v>
          </cell>
          <cell r="L256">
            <v>1.3821044410341727</v>
          </cell>
          <cell r="N256">
            <v>50.338620566743906</v>
          </cell>
          <cell r="O256">
            <v>46.259194911967732</v>
          </cell>
          <cell r="P256">
            <v>-4.0794256547761734</v>
          </cell>
          <cell r="R256">
            <v>59.421133858697871</v>
          </cell>
          <cell r="S256">
            <v>57.457088774102445</v>
          </cell>
          <cell r="T256">
            <v>-1.9640450845954263</v>
          </cell>
          <cell r="V256">
            <v>84.719737115676196</v>
          </cell>
          <cell r="W256">
            <v>81.327762489530613</v>
          </cell>
          <cell r="X256">
            <v>-3.3919746261455828</v>
          </cell>
          <cell r="Z256">
            <v>58.76283491741912</v>
          </cell>
        </row>
        <row r="257">
          <cell r="A257" t="str">
            <v>Southern Region Total</v>
          </cell>
          <cell r="B257">
            <v>205.01051015155588</v>
          </cell>
          <cell r="C257">
            <v>209.51069703086606</v>
          </cell>
          <cell r="D257">
            <v>4.5001868793101778</v>
          </cell>
          <cell r="F257">
            <v>75.884758516230889</v>
          </cell>
          <cell r="G257">
            <v>75.21005909209866</v>
          </cell>
          <cell r="H257">
            <v>-0.67469942413222839</v>
          </cell>
          <cell r="J257">
            <v>65.569753933376234</v>
          </cell>
          <cell r="K257">
            <v>67.386423196718752</v>
          </cell>
          <cell r="L257">
            <v>1.8166692633425185</v>
          </cell>
          <cell r="N257">
            <v>47.195925561953587</v>
          </cell>
          <cell r="O257">
            <v>47.221334131832435</v>
          </cell>
          <cell r="P257">
            <v>2.5408569878848652E-2</v>
          </cell>
          <cell r="R257">
            <v>61.503688810554472</v>
          </cell>
          <cell r="S257">
            <v>62.640888085632383</v>
          </cell>
          <cell r="T257">
            <v>1.1371992750779114</v>
          </cell>
          <cell r="V257">
            <v>84.095089306098217</v>
          </cell>
          <cell r="W257">
            <v>85.588360356684476</v>
          </cell>
          <cell r="X257">
            <v>1.4932710505862588</v>
          </cell>
          <cell r="Z257">
            <v>61.728932506887254</v>
          </cell>
        </row>
        <row r="259">
          <cell r="A259" t="str">
            <v>TOTAL</v>
          </cell>
          <cell r="B259">
            <v>187.17602943990451</v>
          </cell>
          <cell r="C259">
            <v>184.41132834277064</v>
          </cell>
          <cell r="D259">
            <v>-2.7647010971338659</v>
          </cell>
          <cell r="F259">
            <v>76.902279704167668</v>
          </cell>
          <cell r="G259">
            <v>75.592033165580347</v>
          </cell>
          <cell r="H259">
            <v>-1.3102465385873217</v>
          </cell>
          <cell r="J259">
            <v>68.327596455850824</v>
          </cell>
          <cell r="K259">
            <v>67.850195116602336</v>
          </cell>
          <cell r="L259">
            <v>-0.47740133924848749</v>
          </cell>
          <cell r="N259">
            <v>46.574072355823191</v>
          </cell>
          <cell r="O259">
            <v>48.441049359484111</v>
          </cell>
          <cell r="P259">
            <v>1.8669770036609208</v>
          </cell>
          <cell r="R259">
            <v>67.357777275073872</v>
          </cell>
          <cell r="S259">
            <v>67.574951596610674</v>
          </cell>
          <cell r="T259">
            <v>0.21717432153680249</v>
          </cell>
          <cell r="V259">
            <v>86.899808312604591</v>
          </cell>
          <cell r="W259">
            <v>86.648565560297271</v>
          </cell>
          <cell r="X259">
            <v>-0.25124275230731996</v>
          </cell>
          <cell r="Z259">
            <v>65.292551834317422</v>
          </cell>
        </row>
        <row r="275">
          <cell r="A275" t="str">
            <v>Auckland DHB</v>
          </cell>
          <cell r="B275">
            <v>189.51896753079103</v>
          </cell>
          <cell r="C275">
            <v>188.02967876794162</v>
          </cell>
          <cell r="D275">
            <v>-1.4892887628494123</v>
          </cell>
          <cell r="F275">
            <v>81.428807218651741</v>
          </cell>
          <cell r="G275">
            <v>79.16570131657619</v>
          </cell>
          <cell r="H275">
            <v>-2.2631059020755515</v>
          </cell>
          <cell r="J275">
            <v>78.982501200778671</v>
          </cell>
          <cell r="K275">
            <v>76.841655927083224</v>
          </cell>
          <cell r="L275">
            <v>-2.1408452736954473</v>
          </cell>
          <cell r="N275">
            <v>48.020243594386194</v>
          </cell>
          <cell r="O275">
            <v>51.471925383893833</v>
          </cell>
          <cell r="P275">
            <v>3.4516817895076386</v>
          </cell>
          <cell r="R275">
            <v>78.585883277275414</v>
          </cell>
          <cell r="S275">
            <v>70.76390638121191</v>
          </cell>
          <cell r="T275">
            <v>-7.8219768960635037</v>
          </cell>
          <cell r="V275">
            <v>100.1787043789965</v>
          </cell>
          <cell r="W275">
            <v>97.383945396978433</v>
          </cell>
          <cell r="X275">
            <v>-2.7947589820180667</v>
          </cell>
          <cell r="Z275">
            <v>75.147127968440657</v>
          </cell>
        </row>
        <row r="276">
          <cell r="A276" t="str">
            <v>Counties Manukau DHB</v>
          </cell>
          <cell r="B276">
            <v>166.072979432457</v>
          </cell>
          <cell r="C276">
            <v>183.75406148462892</v>
          </cell>
          <cell r="D276">
            <v>17.681082052171917</v>
          </cell>
          <cell r="F276">
            <v>80.116774847259691</v>
          </cell>
          <cell r="G276">
            <v>79.445018509415206</v>
          </cell>
          <cell r="H276">
            <v>-0.67175633784448507</v>
          </cell>
          <cell r="J276">
            <v>70.154534456390238</v>
          </cell>
          <cell r="K276">
            <v>70.759585680537882</v>
          </cell>
          <cell r="L276">
            <v>0.60505122414764401</v>
          </cell>
          <cell r="N276">
            <v>50.368308272742254</v>
          </cell>
          <cell r="O276">
            <v>53.785943404696411</v>
          </cell>
          <cell r="P276">
            <v>3.4176351319541567</v>
          </cell>
          <cell r="R276">
            <v>77.429113080903818</v>
          </cell>
          <cell r="S276">
            <v>72.185284459451594</v>
          </cell>
          <cell r="T276">
            <v>-5.2438286214522236</v>
          </cell>
          <cell r="V276">
            <v>88.402832547446849</v>
          </cell>
          <cell r="W276">
            <v>91.496443462129164</v>
          </cell>
          <cell r="X276">
            <v>3.0936109146823156</v>
          </cell>
          <cell r="Z276">
            <v>68.84832500625852</v>
          </cell>
        </row>
        <row r="277">
          <cell r="A277" t="str">
            <v>Northland DHB</v>
          </cell>
          <cell r="B277">
            <v>210.07397616778553</v>
          </cell>
          <cell r="C277">
            <v>197.64038605126987</v>
          </cell>
          <cell r="D277">
            <v>-12.43359011651566</v>
          </cell>
          <cell r="F277">
            <v>78.712688279643814</v>
          </cell>
          <cell r="G277">
            <v>76.671074686978173</v>
          </cell>
          <cell r="H277">
            <v>-2.0416135926656409</v>
          </cell>
          <cell r="J277">
            <v>69.567127651153953</v>
          </cell>
          <cell r="K277">
            <v>66.764000900285282</v>
          </cell>
          <cell r="L277">
            <v>-2.803126750868671</v>
          </cell>
          <cell r="N277">
            <v>47.418148836742887</v>
          </cell>
          <cell r="O277">
            <v>47.041408070851475</v>
          </cell>
          <cell r="P277">
            <v>-0.37674076589141237</v>
          </cell>
          <cell r="R277">
            <v>69.619773836894012</v>
          </cell>
          <cell r="S277">
            <v>69.06894888182768</v>
          </cell>
          <cell r="T277">
            <v>-0.55082495506633222</v>
          </cell>
          <cell r="V277">
            <v>87.791148064962272</v>
          </cell>
          <cell r="W277">
            <v>86.362311855464739</v>
          </cell>
          <cell r="X277">
            <v>-1.4288362094975326</v>
          </cell>
          <cell r="Z277">
            <v>67.385207079537906</v>
          </cell>
        </row>
        <row r="278">
          <cell r="A278" t="str">
            <v>Waitemata DHB</v>
          </cell>
          <cell r="B278">
            <v>172.40628062783284</v>
          </cell>
          <cell r="C278">
            <v>166.22737237648897</v>
          </cell>
          <cell r="D278">
            <v>-6.17890825134387</v>
          </cell>
          <cell r="F278">
            <v>76.607063294121275</v>
          </cell>
          <cell r="G278">
            <v>75.589205328198389</v>
          </cell>
          <cell r="H278">
            <v>-1.0178579659228859</v>
          </cell>
          <cell r="J278">
            <v>69.195996495557523</v>
          </cell>
          <cell r="K278">
            <v>65.933355790223331</v>
          </cell>
          <cell r="L278">
            <v>-3.2626407053341921</v>
          </cell>
          <cell r="N278">
            <v>48.517166214190823</v>
          </cell>
          <cell r="O278">
            <v>45.716666170738243</v>
          </cell>
          <cell r="P278">
            <v>-2.8005000434525797</v>
          </cell>
          <cell r="R278">
            <v>73.63707039474302</v>
          </cell>
          <cell r="S278">
            <v>72.105709783004016</v>
          </cell>
          <cell r="T278">
            <v>-1.5313606117390037</v>
          </cell>
          <cell r="V278">
            <v>87.45225574218415</v>
          </cell>
          <cell r="W278">
            <v>83.970076878241784</v>
          </cell>
          <cell r="X278">
            <v>-3.4821788639423659</v>
          </cell>
          <cell r="Z278">
            <v>68.360528647371538</v>
          </cell>
        </row>
        <row r="279">
          <cell r="A279" t="str">
            <v>Northern Region Total</v>
          </cell>
          <cell r="B279">
            <v>180.57945051726298</v>
          </cell>
          <cell r="C279">
            <v>182.32341788499184</v>
          </cell>
          <cell r="D279">
            <v>1.7439673677288567</v>
          </cell>
          <cell r="F279">
            <v>79.464818216462419</v>
          </cell>
          <cell r="G279">
            <v>77.995055113842156</v>
          </cell>
          <cell r="H279">
            <v>-1.4697631026202629</v>
          </cell>
          <cell r="J279">
            <v>72.943459657091893</v>
          </cell>
          <cell r="K279">
            <v>71.028140594260023</v>
          </cell>
          <cell r="L279">
            <v>-1.9153190628318697</v>
          </cell>
          <cell r="N279">
            <v>48.979650903379735</v>
          </cell>
          <cell r="O279">
            <v>50.265234181751765</v>
          </cell>
          <cell r="P279">
            <v>1.2855832783720302</v>
          </cell>
          <cell r="R279">
            <v>75.95497558740044</v>
          </cell>
          <cell r="S279">
            <v>71.292436980234982</v>
          </cell>
          <cell r="T279">
            <v>-4.6625386071654589</v>
          </cell>
          <cell r="V279">
            <v>92.379341467026961</v>
          </cell>
          <cell r="W279">
            <v>91.060664931434303</v>
          </cell>
          <cell r="X279">
            <v>-1.3186765355926582</v>
          </cell>
          <cell r="Z279">
            <v>70.779950327376071</v>
          </cell>
        </row>
        <row r="281">
          <cell r="A281" t="str">
            <v>Bay of Plenty DHB</v>
          </cell>
          <cell r="B281">
            <v>204.19893228434955</v>
          </cell>
          <cell r="C281">
            <v>200.1418918918919</v>
          </cell>
          <cell r="D281">
            <v>-4.057040392457651</v>
          </cell>
          <cell r="F281">
            <v>81.90115163147793</v>
          </cell>
          <cell r="G281">
            <v>78.628598848368526</v>
          </cell>
          <cell r="H281">
            <v>-3.2725527831094041</v>
          </cell>
          <cell r="J281">
            <v>68.834918858421929</v>
          </cell>
          <cell r="K281">
            <v>69.885714285714286</v>
          </cell>
          <cell r="L281">
            <v>1.050795427292357</v>
          </cell>
          <cell r="N281">
            <v>47.434903047091417</v>
          </cell>
          <cell r="O281">
            <v>47.469565217391306</v>
          </cell>
          <cell r="P281">
            <v>3.4662170299888828E-2</v>
          </cell>
          <cell r="R281">
            <v>66.001085579880595</v>
          </cell>
          <cell r="S281">
            <v>64.552808988764042</v>
          </cell>
          <cell r="T281">
            <v>-1.4482765911165529</v>
          </cell>
          <cell r="V281">
            <v>87.105318822285142</v>
          </cell>
          <cell r="W281">
            <v>88.039099022524439</v>
          </cell>
          <cell r="X281">
            <v>0.93378020023929764</v>
          </cell>
          <cell r="Z281">
            <v>65.059033409017189</v>
          </cell>
        </row>
        <row r="282">
          <cell r="A282" t="str">
            <v>Lakes DHB</v>
          </cell>
          <cell r="B282">
            <v>198.71468144044323</v>
          </cell>
          <cell r="C282">
            <v>211.0353982300885</v>
          </cell>
          <cell r="D282">
            <v>12.320716789645275</v>
          </cell>
          <cell r="F282">
            <v>82.154528650646952</v>
          </cell>
          <cell r="G282">
            <v>79.031423290203335</v>
          </cell>
          <cell r="H282">
            <v>-3.123105360443617</v>
          </cell>
          <cell r="J282">
            <v>71.706787330316743</v>
          </cell>
          <cell r="K282">
            <v>72.78883385862224</v>
          </cell>
          <cell r="L282">
            <v>1.0820465283054972</v>
          </cell>
          <cell r="N282">
            <v>46.720416124837456</v>
          </cell>
          <cell r="O282">
            <v>47.560379918588879</v>
          </cell>
          <cell r="P282">
            <v>0.83996379375142283</v>
          </cell>
          <cell r="R282">
            <v>65.615517838586769</v>
          </cell>
          <cell r="S282">
            <v>63.052667814113597</v>
          </cell>
          <cell r="T282">
            <v>-2.5628500244731711</v>
          </cell>
          <cell r="V282">
            <v>88.388413135750994</v>
          </cell>
          <cell r="W282">
            <v>90.894885712101527</v>
          </cell>
          <cell r="X282">
            <v>2.5064725763505322</v>
          </cell>
          <cell r="Z282">
            <v>65.433344698261166</v>
          </cell>
        </row>
        <row r="283">
          <cell r="A283" t="str">
            <v>Tairawhiti DHB</v>
          </cell>
          <cell r="B283">
            <v>273.546875</v>
          </cell>
          <cell r="C283">
            <v>240.06648246708247</v>
          </cell>
          <cell r="D283">
            <v>-33.480392532917534</v>
          </cell>
          <cell r="F283">
            <v>83.786259541984734</v>
          </cell>
          <cell r="G283">
            <v>78.511335496183207</v>
          </cell>
          <cell r="H283">
            <v>-5.2749240458015265</v>
          </cell>
          <cell r="J283">
            <v>69.134020618556704</v>
          </cell>
          <cell r="K283">
            <v>69.484672847682106</v>
          </cell>
          <cell r="L283">
            <v>0.3506522291254015</v>
          </cell>
          <cell r="N283">
            <v>50.76</v>
          </cell>
          <cell r="O283">
            <v>52.115570588235293</v>
          </cell>
          <cell r="P283">
            <v>1.3555705882352953</v>
          </cell>
          <cell r="R283">
            <v>66.359925788497222</v>
          </cell>
          <cell r="S283">
            <v>61.851114589856017</v>
          </cell>
          <cell r="T283">
            <v>-4.5088111986412045</v>
          </cell>
          <cell r="V283">
            <v>94.12405766433011</v>
          </cell>
          <cell r="W283">
            <v>90.045794280671359</v>
          </cell>
          <cell r="X283">
            <v>-4.0782633836587507</v>
          </cell>
          <cell r="Z283">
            <v>66.84367106371036</v>
          </cell>
        </row>
        <row r="284">
          <cell r="A284" t="str">
            <v>Taranaki DHB</v>
          </cell>
          <cell r="B284">
            <v>201.3685012179312</v>
          </cell>
          <cell r="C284">
            <v>183.66842661034846</v>
          </cell>
          <cell r="D284">
            <v>-17.700074607582735</v>
          </cell>
          <cell r="F284">
            <v>77.900338086138476</v>
          </cell>
          <cell r="G284">
            <v>71.105688666764664</v>
          </cell>
          <cell r="H284">
            <v>-6.7946494193738118</v>
          </cell>
          <cell r="J284">
            <v>68.206000585105812</v>
          </cell>
          <cell r="K284">
            <v>63.171806167400881</v>
          </cell>
          <cell r="L284">
            <v>-5.0341944177049314</v>
          </cell>
          <cell r="N284">
            <v>45.67038737016447</v>
          </cell>
          <cell r="O284">
            <v>42.781276595744679</v>
          </cell>
          <cell r="P284">
            <v>-2.889110774419791</v>
          </cell>
          <cell r="R284">
            <v>65.563681123741958</v>
          </cell>
          <cell r="S284">
            <v>62.268190688597713</v>
          </cell>
          <cell r="T284">
            <v>-3.2954904351442451</v>
          </cell>
          <cell r="V284">
            <v>84.433515740876658</v>
          </cell>
          <cell r="W284">
            <v>78.710786106032913</v>
          </cell>
          <cell r="X284">
            <v>-5.7227296348437449</v>
          </cell>
          <cell r="Z284">
            <v>63.448990504899939</v>
          </cell>
        </row>
        <row r="285">
          <cell r="A285" t="str">
            <v>Waikato DHB</v>
          </cell>
          <cell r="B285">
            <v>208.57370101734347</v>
          </cell>
          <cell r="C285">
            <v>204.78593086719223</v>
          </cell>
          <cell r="D285">
            <v>-3.787770150151232</v>
          </cell>
          <cell r="F285">
            <v>76.427522622503005</v>
          </cell>
          <cell r="G285">
            <v>74.675362813727162</v>
          </cell>
          <cell r="H285">
            <v>-1.7521598087758434</v>
          </cell>
          <cell r="J285">
            <v>68.533399317476523</v>
          </cell>
          <cell r="K285">
            <v>67.928906442853616</v>
          </cell>
          <cell r="L285">
            <v>-0.60449287462290613</v>
          </cell>
          <cell r="N285">
            <v>46.4016178035614</v>
          </cell>
          <cell r="O285">
            <v>45.751292785028319</v>
          </cell>
          <cell r="P285">
            <v>-0.65032501853308133</v>
          </cell>
          <cell r="R285">
            <v>64.878758658090248</v>
          </cell>
          <cell r="S285">
            <v>64.518558867014235</v>
          </cell>
          <cell r="T285">
            <v>-0.3601997910760133</v>
          </cell>
          <cell r="V285">
            <v>88.866729808389152</v>
          </cell>
          <cell r="W285">
            <v>85.829146332307232</v>
          </cell>
          <cell r="X285">
            <v>-3.0375834760819203</v>
          </cell>
          <cell r="Z285">
            <v>63.674072783926242</v>
          </cell>
        </row>
        <row r="286">
          <cell r="A286" t="str">
            <v>Midland Region Total</v>
          </cell>
          <cell r="B286">
            <v>208.82807416796354</v>
          </cell>
          <cell r="C286">
            <v>203.8908853465976</v>
          </cell>
          <cell r="D286">
            <v>-4.9371888213659361</v>
          </cell>
          <cell r="F286">
            <v>78.74755888426138</v>
          </cell>
          <cell r="G286">
            <v>75.738838042907659</v>
          </cell>
          <cell r="H286">
            <v>-3.0087208413537212</v>
          </cell>
          <cell r="J286">
            <v>68.903130846971266</v>
          </cell>
          <cell r="K286">
            <v>68.345986388583967</v>
          </cell>
          <cell r="L286">
            <v>-0.55714445838729887</v>
          </cell>
          <cell r="N286">
            <v>46.632882560797093</v>
          </cell>
          <cell r="O286">
            <v>45.951512028582769</v>
          </cell>
          <cell r="P286">
            <v>-0.68137053221432353</v>
          </cell>
          <cell r="R286">
            <v>65.382246077813761</v>
          </cell>
          <cell r="S286">
            <v>63.884340375707758</v>
          </cell>
          <cell r="T286">
            <v>-1.4979057021060029</v>
          </cell>
          <cell r="V286">
            <v>88.193765061211309</v>
          </cell>
          <cell r="W286">
            <v>86.166341678543986</v>
          </cell>
          <cell r="X286">
            <v>-2.0274233826673225</v>
          </cell>
          <cell r="Z286">
            <v>64.321796443786965</v>
          </cell>
        </row>
        <row r="288">
          <cell r="A288" t="str">
            <v>Capital &amp; Coast DHB</v>
          </cell>
          <cell r="B288">
            <v>160.25060525651392</v>
          </cell>
          <cell r="C288">
            <v>158.82307259302954</v>
          </cell>
          <cell r="D288">
            <v>-1.427532663484385</v>
          </cell>
          <cell r="F288">
            <v>76.212988166467497</v>
          </cell>
          <cell r="G288">
            <v>71.439801577653114</v>
          </cell>
          <cell r="H288">
            <v>-4.773186588814383</v>
          </cell>
          <cell r="J288">
            <v>72.133045928471859</v>
          </cell>
          <cell r="K288">
            <v>79.222703076728578</v>
          </cell>
          <cell r="L288">
            <v>7.0896571482567197</v>
          </cell>
          <cell r="N288">
            <v>47.881082836111808</v>
          </cell>
          <cell r="O288">
            <v>42.460594451567793</v>
          </cell>
          <cell r="P288">
            <v>-5.420488384544015</v>
          </cell>
          <cell r="R288">
            <v>65.632454530114074</v>
          </cell>
          <cell r="S288">
            <v>72.391944088242624</v>
          </cell>
          <cell r="T288">
            <v>6.7594895581285499</v>
          </cell>
          <cell r="V288">
            <v>88.123537637426338</v>
          </cell>
          <cell r="W288">
            <v>87.170130113961406</v>
          </cell>
          <cell r="X288">
            <v>-0.95340752346493218</v>
          </cell>
          <cell r="Z288">
            <v>66.551755256734111</v>
          </cell>
        </row>
        <row r="289">
          <cell r="A289" t="str">
            <v>Hawke's Bay DHB</v>
          </cell>
          <cell r="B289">
            <v>161.88427829577444</v>
          </cell>
          <cell r="C289">
            <v>167.6806897989392</v>
          </cell>
          <cell r="D289">
            <v>5.7964115031647623</v>
          </cell>
          <cell r="F289">
            <v>81.328701716227698</v>
          </cell>
          <cell r="G289">
            <v>78.307682842720752</v>
          </cell>
          <cell r="H289">
            <v>-3.0210188735069465</v>
          </cell>
          <cell r="J289">
            <v>69.187221541673509</v>
          </cell>
          <cell r="K289">
            <v>70.164393679636632</v>
          </cell>
          <cell r="L289">
            <v>0.97717213796312308</v>
          </cell>
          <cell r="N289">
            <v>47.1298990318694</v>
          </cell>
          <cell r="O289">
            <v>47.594266983861651</v>
          </cell>
          <cell r="P289">
            <v>0.46436795199225145</v>
          </cell>
          <cell r="R289">
            <v>63.69561604760068</v>
          </cell>
          <cell r="S289">
            <v>65.058813766438107</v>
          </cell>
          <cell r="T289">
            <v>1.3631977188374265</v>
          </cell>
          <cell r="V289">
            <v>82.419901740060027</v>
          </cell>
          <cell r="W289">
            <v>84.143109371105623</v>
          </cell>
          <cell r="X289">
            <v>1.7232076310455966</v>
          </cell>
          <cell r="Z289">
            <v>63.540108035040177</v>
          </cell>
        </row>
        <row r="290">
          <cell r="A290" t="str">
            <v>Hutt Valley DHB</v>
          </cell>
          <cell r="B290">
            <v>188.13318401102691</v>
          </cell>
          <cell r="C290">
            <v>197.80304451533419</v>
          </cell>
          <cell r="D290">
            <v>9.6698605043072803</v>
          </cell>
          <cell r="F290">
            <v>82.664337783586177</v>
          </cell>
          <cell r="G290">
            <v>77.333971969223114</v>
          </cell>
          <cell r="H290">
            <v>-5.3303658143630628</v>
          </cell>
          <cell r="J290">
            <v>70.063756342011558</v>
          </cell>
          <cell r="K290">
            <v>70.176540133415784</v>
          </cell>
          <cell r="L290">
            <v>0.11278379140422601</v>
          </cell>
          <cell r="N290">
            <v>49.641681788822936</v>
          </cell>
          <cell r="O290">
            <v>48.355398561107286</v>
          </cell>
          <cell r="P290">
            <v>-1.28628322771565</v>
          </cell>
          <cell r="R290">
            <v>64.979244088956307</v>
          </cell>
          <cell r="S290">
            <v>65.730740055289886</v>
          </cell>
          <cell r="T290">
            <v>0.75149596633357874</v>
          </cell>
          <cell r="V290">
            <v>86.435424109792223</v>
          </cell>
          <cell r="W290">
            <v>87.275109669371446</v>
          </cell>
          <cell r="X290">
            <v>0.8396855595792232</v>
          </cell>
          <cell r="Z290">
            <v>65.09066474589217</v>
          </cell>
        </row>
        <row r="291">
          <cell r="A291" t="str">
            <v>MidCentral DHB</v>
          </cell>
          <cell r="B291">
            <v>195.87052534686745</v>
          </cell>
          <cell r="C291">
            <v>192.49659863945578</v>
          </cell>
          <cell r="D291">
            <v>-3.3739267074116697</v>
          </cell>
          <cell r="F291">
            <v>79.153704515563348</v>
          </cell>
          <cell r="G291">
            <v>77.435510740903112</v>
          </cell>
          <cell r="H291">
            <v>-1.7181937746602358</v>
          </cell>
          <cell r="J291">
            <v>70.197182164485653</v>
          </cell>
          <cell r="K291">
            <v>67.844059405940598</v>
          </cell>
          <cell r="L291">
            <v>-2.3531227585450551</v>
          </cell>
          <cell r="N291">
            <v>44.980756000966856</v>
          </cell>
          <cell r="O291">
            <v>51.791666666666664</v>
          </cell>
          <cell r="P291">
            <v>6.810910665699808</v>
          </cell>
          <cell r="R291">
            <v>57.330652087822777</v>
          </cell>
          <cell r="S291">
            <v>56.630032254210946</v>
          </cell>
          <cell r="T291">
            <v>-0.70061983361183167</v>
          </cell>
          <cell r="V291">
            <v>87.522482100093086</v>
          </cell>
          <cell r="W291">
            <v>85.746123046741715</v>
          </cell>
          <cell r="X291">
            <v>-1.7763590533513707</v>
          </cell>
          <cell r="Z291">
            <v>62.282331420731829</v>
          </cell>
        </row>
        <row r="292">
          <cell r="A292" t="str">
            <v>Wairarapa DHB</v>
          </cell>
          <cell r="B292">
            <v>224.0203886588086</v>
          </cell>
          <cell r="C292">
            <v>210.56731427355587</v>
          </cell>
          <cell r="D292">
            <v>-13.453074385252734</v>
          </cell>
          <cell r="F292">
            <v>79.654558052063749</v>
          </cell>
          <cell r="G292">
            <v>79.71201824027969</v>
          </cell>
          <cell r="H292">
            <v>5.7460188215941344E-2</v>
          </cell>
          <cell r="J292">
            <v>71.330166270783849</v>
          </cell>
          <cell r="K292">
            <v>70.742544963550344</v>
          </cell>
          <cell r="L292">
            <v>-0.58762130723350481</v>
          </cell>
          <cell r="N292">
            <v>51.897679952409277</v>
          </cell>
          <cell r="O292">
            <v>54.454330068789972</v>
          </cell>
          <cell r="P292">
            <v>2.5566501163806947</v>
          </cell>
          <cell r="R292">
            <v>53.435183104920242</v>
          </cell>
          <cell r="S292">
            <v>51.089969158341951</v>
          </cell>
          <cell r="T292">
            <v>-2.3452139465782906</v>
          </cell>
          <cell r="V292">
            <v>83.706741687286026</v>
          </cell>
          <cell r="W292">
            <v>84.189333134403881</v>
          </cell>
          <cell r="X292">
            <v>0.48259144711785495</v>
          </cell>
          <cell r="Z292">
            <v>60.411239607131911</v>
          </cell>
        </row>
        <row r="293">
          <cell r="A293" t="str">
            <v>Whanganui DHB</v>
          </cell>
          <cell r="B293">
            <v>215.90334465072598</v>
          </cell>
          <cell r="C293">
            <v>223.36188553658138</v>
          </cell>
          <cell r="D293">
            <v>7.458540885855399</v>
          </cell>
          <cell r="F293">
            <v>76.218173553249358</v>
          </cell>
          <cell r="G293">
            <v>75.79201297594382</v>
          </cell>
          <cell r="H293">
            <v>-0.42616057730553791</v>
          </cell>
          <cell r="J293">
            <v>69.810720820709719</v>
          </cell>
          <cell r="K293">
            <v>71.966066698959878</v>
          </cell>
          <cell r="L293">
            <v>2.1553458782501593</v>
          </cell>
          <cell r="N293">
            <v>45.316854477159822</v>
          </cell>
          <cell r="O293">
            <v>45.492361726335297</v>
          </cell>
          <cell r="P293">
            <v>0.17550724917547456</v>
          </cell>
          <cell r="R293">
            <v>62.061107238154769</v>
          </cell>
          <cell r="S293">
            <v>60.789299105715934</v>
          </cell>
          <cell r="T293">
            <v>-1.2718081324388351</v>
          </cell>
          <cell r="V293">
            <v>87.371418584807714</v>
          </cell>
          <cell r="W293">
            <v>87.856147253576694</v>
          </cell>
          <cell r="X293">
            <v>0.48472866876898024</v>
          </cell>
          <cell r="Z293">
            <v>64.257120611657854</v>
          </cell>
        </row>
        <row r="294">
          <cell r="A294" t="str">
            <v>Central Region Total</v>
          </cell>
          <cell r="B294">
            <v>174.59308619108282</v>
          </cell>
          <cell r="C294">
            <v>175.82853496321187</v>
          </cell>
          <cell r="D294">
            <v>1.2354487721290468</v>
          </cell>
          <cell r="F294">
            <v>78.569120714816947</v>
          </cell>
          <cell r="G294">
            <v>75.079529131483369</v>
          </cell>
          <cell r="H294">
            <v>-3.4895915833335778</v>
          </cell>
          <cell r="J294">
            <v>70.673587783026619</v>
          </cell>
          <cell r="K294">
            <v>72.762934222769715</v>
          </cell>
          <cell r="L294">
            <v>2.0893464397430961</v>
          </cell>
          <cell r="N294">
            <v>47.892905457466483</v>
          </cell>
          <cell r="O294">
            <v>46.531091292456992</v>
          </cell>
          <cell r="P294">
            <v>-1.3618141650094913</v>
          </cell>
          <cell r="R294">
            <v>62.667460449918153</v>
          </cell>
          <cell r="S294">
            <v>64.834648611933716</v>
          </cell>
          <cell r="T294">
            <v>2.1671881620155631</v>
          </cell>
          <cell r="V294">
            <v>86.561961738540063</v>
          </cell>
          <cell r="W294">
            <v>86.340825142920778</v>
          </cell>
          <cell r="X294">
            <v>-0.221136595619285</v>
          </cell>
          <cell r="Z294">
            <v>64.584842230308013</v>
          </cell>
        </row>
        <row r="296">
          <cell r="A296" t="str">
            <v>Canterbury DHB</v>
          </cell>
          <cell r="B296">
            <v>184.37478601083299</v>
          </cell>
          <cell r="C296">
            <v>192</v>
          </cell>
          <cell r="D296">
            <v>7.6252139891670083</v>
          </cell>
          <cell r="F296">
            <v>73.724445724157789</v>
          </cell>
          <cell r="G296">
            <v>71.96429599769651</v>
          </cell>
          <cell r="H296">
            <v>-1.7601497264612789</v>
          </cell>
          <cell r="J296">
            <v>68.459955475984614</v>
          </cell>
          <cell r="K296">
            <v>67.721518987341767</v>
          </cell>
          <cell r="L296">
            <v>-0.73843648864284717</v>
          </cell>
          <cell r="N296">
            <v>47.730430473780757</v>
          </cell>
          <cell r="O296">
            <v>47.371522094926348</v>
          </cell>
          <cell r="P296">
            <v>-0.35890837885440874</v>
          </cell>
          <cell r="R296">
            <v>62.56384427123767</v>
          </cell>
          <cell r="S296">
            <v>61.356988195851088</v>
          </cell>
          <cell r="T296">
            <v>-1.2068560753865825</v>
          </cell>
          <cell r="V296">
            <v>82.606406060188263</v>
          </cell>
          <cell r="W296">
            <v>83.054199251955112</v>
          </cell>
          <cell r="X296">
            <v>0.44779319176684851</v>
          </cell>
          <cell r="Z296">
            <v>63.589051677354746</v>
          </cell>
        </row>
        <row r="297">
          <cell r="A297" t="str">
            <v>Nelson Marlborough DHB</v>
          </cell>
          <cell r="B297">
            <v>231.95096079270687</v>
          </cell>
          <cell r="C297">
            <v>229.21809935383291</v>
          </cell>
          <cell r="D297">
            <v>-2.7328614388739538</v>
          </cell>
          <cell r="F297">
            <v>83.226063245226271</v>
          </cell>
          <cell r="G297">
            <v>79.459955556761784</v>
          </cell>
          <cell r="H297">
            <v>-3.7661076884644871</v>
          </cell>
          <cell r="J297">
            <v>63.079440689548619</v>
          </cell>
          <cell r="K297">
            <v>62.724517587406694</v>
          </cell>
          <cell r="L297">
            <v>-0.35492310214192457</v>
          </cell>
          <cell r="N297">
            <v>48.916327487187417</v>
          </cell>
          <cell r="O297">
            <v>48.558160856724548</v>
          </cell>
          <cell r="P297">
            <v>-0.35816663046286834</v>
          </cell>
          <cell r="R297">
            <v>63.294373281221183</v>
          </cell>
          <cell r="S297">
            <v>62.139763389196801</v>
          </cell>
          <cell r="T297">
            <v>-1.1546098920243821</v>
          </cell>
          <cell r="V297">
            <v>86.020204772007133</v>
          </cell>
          <cell r="W297">
            <v>84.161759766033555</v>
          </cell>
          <cell r="X297">
            <v>-1.8584450059735786</v>
          </cell>
          <cell r="Z297">
            <v>61.759134511213489</v>
          </cell>
        </row>
        <row r="298">
          <cell r="A298" t="str">
            <v>South Canterbury DHB</v>
          </cell>
          <cell r="B298">
            <v>274.05235087910739</v>
          </cell>
          <cell r="C298">
            <v>272.171875</v>
          </cell>
          <cell r="D298">
            <v>-1.8804758791073937</v>
          </cell>
          <cell r="F298">
            <v>78.109034267912776</v>
          </cell>
          <cell r="G298">
            <v>78.940809968847347</v>
          </cell>
          <cell r="H298">
            <v>0.8317757009345712</v>
          </cell>
          <cell r="J298">
            <v>71.274799820341656</v>
          </cell>
          <cell r="K298">
            <v>70.526315789473685</v>
          </cell>
          <cell r="L298">
            <v>-0.74848403086797077</v>
          </cell>
          <cell r="N298">
            <v>43.622460873754719</v>
          </cell>
          <cell r="O298">
            <v>44.290909090909089</v>
          </cell>
          <cell r="P298">
            <v>0.66844821715437064</v>
          </cell>
          <cell r="R298">
            <v>64.855030961316885</v>
          </cell>
          <cell r="S298">
            <v>65.177419354838705</v>
          </cell>
          <cell r="T298">
            <v>0.32238839352181969</v>
          </cell>
          <cell r="V298">
            <v>88.596644896408293</v>
          </cell>
          <cell r="W298">
            <v>90.438053097345133</v>
          </cell>
          <cell r="X298">
            <v>1.84140820093684</v>
          </cell>
          <cell r="Z298">
            <v>63.283882441033313</v>
          </cell>
        </row>
        <row r="299">
          <cell r="A299" t="str">
            <v>Southern DHB</v>
          </cell>
          <cell r="B299">
            <v>218.13183004647897</v>
          </cell>
          <cell r="C299">
            <v>207.62411780116668</v>
          </cell>
          <cell r="D299">
            <v>-10.507712245312291</v>
          </cell>
          <cell r="F299">
            <v>78.446837209817446</v>
          </cell>
          <cell r="G299">
            <v>78.730653855815476</v>
          </cell>
          <cell r="H299">
            <v>0.28381664599803003</v>
          </cell>
          <cell r="J299">
            <v>72.656231795702809</v>
          </cell>
          <cell r="K299">
            <v>71.494733987253241</v>
          </cell>
          <cell r="L299">
            <v>-1.1614978084495675</v>
          </cell>
          <cell r="N299">
            <v>50.510833531576992</v>
          </cell>
          <cell r="O299">
            <v>49.913820418036558</v>
          </cell>
          <cell r="P299">
            <v>-0.5970131135404344</v>
          </cell>
          <cell r="R299">
            <v>62.981772087905902</v>
          </cell>
          <cell r="S299">
            <v>62.558377236095879</v>
          </cell>
          <cell r="T299">
            <v>-0.42339485181002345</v>
          </cell>
          <cell r="V299">
            <v>92.303392416651818</v>
          </cell>
          <cell r="W299">
            <v>90.196222655456054</v>
          </cell>
          <cell r="X299">
            <v>-2.1071697611957632</v>
          </cell>
          <cell r="Z299">
            <v>65.643201170902529</v>
          </cell>
        </row>
        <row r="300">
          <cell r="A300" t="str">
            <v>West Coast DHB</v>
          </cell>
          <cell r="B300">
            <v>289.29248662087565</v>
          </cell>
          <cell r="C300">
            <v>252.57517421867871</v>
          </cell>
          <cell r="D300">
            <v>-36.717312402196939</v>
          </cell>
          <cell r="F300">
            <v>79.605493018895118</v>
          </cell>
          <cell r="G300">
            <v>73.562912571548139</v>
          </cell>
          <cell r="H300">
            <v>-6.0425804473469782</v>
          </cell>
          <cell r="J300">
            <v>61.35822081016682</v>
          </cell>
          <cell r="K300">
            <v>53.632232190054459</v>
          </cell>
          <cell r="L300">
            <v>-7.7259886201123606</v>
          </cell>
          <cell r="N300">
            <v>50.626185958254261</v>
          </cell>
          <cell r="O300">
            <v>49.227469517200852</v>
          </cell>
          <cell r="P300">
            <v>-1.3987164410534092</v>
          </cell>
          <cell r="R300">
            <v>58.146144677729893</v>
          </cell>
          <cell r="S300">
            <v>52.160353693251757</v>
          </cell>
          <cell r="T300">
            <v>-5.9857909844781361</v>
          </cell>
          <cell r="V300">
            <v>82.791606972301807</v>
          </cell>
          <cell r="W300">
            <v>77.369099522394762</v>
          </cell>
          <cell r="X300">
            <v>-5.4225074499070445</v>
          </cell>
          <cell r="Z300">
            <v>59.088546937480523</v>
          </cell>
        </row>
        <row r="301">
          <cell r="A301" t="str">
            <v>Southern Region Total</v>
          </cell>
          <cell r="B301">
            <v>204.843021310155</v>
          </cell>
          <cell r="C301">
            <v>205.39576657539288</v>
          </cell>
          <cell r="D301">
            <v>0.55274526523788836</v>
          </cell>
          <cell r="F301">
            <v>76.378374996017158</v>
          </cell>
          <cell r="G301">
            <v>74.838690794803483</v>
          </cell>
          <cell r="H301">
            <v>-1.5396842012136744</v>
          </cell>
          <cell r="J301">
            <v>68.13287974985063</v>
          </cell>
          <cell r="K301">
            <v>66.989720573286021</v>
          </cell>
          <cell r="L301">
            <v>-1.143159176564609</v>
          </cell>
          <cell r="N301">
            <v>48.42471084024119</v>
          </cell>
          <cell r="O301">
            <v>48.052005366168245</v>
          </cell>
          <cell r="P301">
            <v>-0.3727054740729443</v>
          </cell>
          <cell r="R301">
            <v>62.663115691088862</v>
          </cell>
          <cell r="S301">
            <v>61.51341005718298</v>
          </cell>
          <cell r="T301">
            <v>-1.1497056339058815</v>
          </cell>
          <cell r="V301">
            <v>85.797385053959104</v>
          </cell>
          <cell r="W301">
            <v>85.108725032545436</v>
          </cell>
          <cell r="X301">
            <v>-0.68866002141366778</v>
          </cell>
          <cell r="Z301">
            <v>63.575719358241408</v>
          </cell>
        </row>
        <row r="303">
          <cell r="A303" t="str">
            <v>TOTAL</v>
          </cell>
          <cell r="B303">
            <v>188.79107949168508</v>
          </cell>
          <cell r="C303">
            <v>189.14163388140025</v>
          </cell>
          <cell r="D303">
            <v>0.35055438971517106</v>
          </cell>
          <cell r="F303">
            <v>78.387177986933366</v>
          </cell>
          <cell r="G303">
            <v>76.206120238754238</v>
          </cell>
          <cell r="H303">
            <v>-2.1810577481791285</v>
          </cell>
          <cell r="J303">
            <v>70.649152570581421</v>
          </cell>
          <cell r="K303">
            <v>69.886304857741706</v>
          </cell>
          <cell r="L303">
            <v>-0.76284771283971509</v>
          </cell>
          <cell r="N303">
            <v>48.176501428212084</v>
          </cell>
          <cell r="O303">
            <v>48.172803358856399</v>
          </cell>
          <cell r="P303">
            <v>-3.6980693556856181E-3</v>
          </cell>
          <cell r="R303">
            <v>67.355111943597336</v>
          </cell>
          <cell r="S303">
            <v>65.884962900180327</v>
          </cell>
          <cell r="T303">
            <v>-1.4701490434170097</v>
          </cell>
          <cell r="V303">
            <v>88.847555844951131</v>
          </cell>
          <cell r="W303">
            <v>87.777735381044479</v>
          </cell>
          <cell r="X303">
            <v>-1.0698204639066518</v>
          </cell>
          <cell r="Z303">
            <v>66.518334120970636</v>
          </cell>
        </row>
        <row r="320">
          <cell r="A320" t="str">
            <v>Auckland DHB</v>
          </cell>
          <cell r="B320">
            <v>192.33484125798884</v>
          </cell>
          <cell r="C320">
            <v>187.41926021693649</v>
          </cell>
          <cell r="D320">
            <v>-4.9155810410523486</v>
          </cell>
          <cell r="F320">
            <v>81.304719441703043</v>
          </cell>
          <cell r="G320">
            <v>78.55229686545421</v>
          </cell>
          <cell r="H320">
            <v>-2.7524225762488328</v>
          </cell>
          <cell r="J320">
            <v>80.813347782347535</v>
          </cell>
          <cell r="K320">
            <v>85.066558951812411</v>
          </cell>
          <cell r="L320">
            <v>4.2532111694648762</v>
          </cell>
          <cell r="N320">
            <v>49.714505376400773</v>
          </cell>
          <cell r="O320">
            <v>46.200168180289253</v>
          </cell>
          <cell r="P320">
            <v>-3.5143371961115193</v>
          </cell>
          <cell r="R320">
            <v>75.205807937372228</v>
          </cell>
          <cell r="S320">
            <v>79.644333260050928</v>
          </cell>
          <cell r="T320">
            <v>4.4385253226787</v>
          </cell>
          <cell r="V320">
            <v>100.23634078932042</v>
          </cell>
          <cell r="W320">
            <v>99.183003450390842</v>
          </cell>
          <cell r="X320">
            <v>-1.0533373389295804</v>
          </cell>
          <cell r="Z320">
            <v>74.41211221292248</v>
          </cell>
        </row>
        <row r="321">
          <cell r="A321" t="str">
            <v>Counties Manukau DHB</v>
          </cell>
          <cell r="B321">
            <v>176.22184817370814</v>
          </cell>
          <cell r="C321">
            <v>172.636705847771</v>
          </cell>
          <cell r="D321">
            <v>-3.5851423259371415</v>
          </cell>
          <cell r="F321">
            <v>81.150968932938156</v>
          </cell>
          <cell r="G321">
            <v>79.038611662545236</v>
          </cell>
          <cell r="H321">
            <v>-2.1123572703929199</v>
          </cell>
          <cell r="J321">
            <v>70.722154222766221</v>
          </cell>
          <cell r="K321">
            <v>71.272935185281199</v>
          </cell>
          <cell r="L321">
            <v>0.55078096251497755</v>
          </cell>
          <cell r="N321">
            <v>51.487197112905996</v>
          </cell>
          <cell r="O321">
            <v>50.948184182539933</v>
          </cell>
          <cell r="P321">
            <v>-0.5390129303660629</v>
          </cell>
          <cell r="R321">
            <v>79.24665122368819</v>
          </cell>
          <cell r="S321">
            <v>74.752141724451761</v>
          </cell>
          <cell r="T321">
            <v>-4.494509499236429</v>
          </cell>
          <cell r="V321">
            <v>91.039780976479861</v>
          </cell>
          <cell r="W321">
            <v>90.503823088462795</v>
          </cell>
          <cell r="X321">
            <v>-0.5359578880170659</v>
          </cell>
          <cell r="Z321">
            <v>69.775294934073571</v>
          </cell>
        </row>
        <row r="322">
          <cell r="A322" t="str">
            <v>Northland DHB</v>
          </cell>
          <cell r="B322">
            <v>210.2280250794835</v>
          </cell>
          <cell r="C322">
            <v>199.20979114020983</v>
          </cell>
          <cell r="D322">
            <v>-11.018233939273671</v>
          </cell>
          <cell r="F322">
            <v>81.298447674909326</v>
          </cell>
          <cell r="G322">
            <v>79.424681662376571</v>
          </cell>
          <cell r="H322">
            <v>-1.8737660125327551</v>
          </cell>
          <cell r="J322">
            <v>70.138927504085885</v>
          </cell>
          <cell r="K322">
            <v>67.408068858789051</v>
          </cell>
          <cell r="L322">
            <v>-2.7308586452968342</v>
          </cell>
          <cell r="N322">
            <v>47.782582529653581</v>
          </cell>
          <cell r="O322">
            <v>45.681803043393586</v>
          </cell>
          <cell r="P322">
            <v>-2.1007794862599951</v>
          </cell>
          <cell r="R322">
            <v>72.073115966961808</v>
          </cell>
          <cell r="S322">
            <v>70.868120513244719</v>
          </cell>
          <cell r="T322">
            <v>-1.204995453717089</v>
          </cell>
          <cell r="V322">
            <v>89.020788394644896</v>
          </cell>
          <cell r="W322">
            <v>88.023540162173518</v>
          </cell>
          <cell r="X322">
            <v>-0.99724823247137806</v>
          </cell>
          <cell r="Z322">
            <v>68.687060409658827</v>
          </cell>
        </row>
        <row r="323">
          <cell r="A323" t="str">
            <v>Waitemata DHB</v>
          </cell>
          <cell r="B323">
            <v>186.94641819795868</v>
          </cell>
          <cell r="C323">
            <v>174.05724981738496</v>
          </cell>
          <cell r="D323">
            <v>-12.889168380573722</v>
          </cell>
          <cell r="F323">
            <v>80.595970163857928</v>
          </cell>
          <cell r="G323">
            <v>77.127631549236412</v>
          </cell>
          <cell r="H323">
            <v>-3.4683386146215156</v>
          </cell>
          <cell r="J323">
            <v>70.841077840064131</v>
          </cell>
          <cell r="K323">
            <v>67.21946149598881</v>
          </cell>
          <cell r="L323">
            <v>-3.6216163440753206</v>
          </cell>
          <cell r="N323">
            <v>48.875723938905345</v>
          </cell>
          <cell r="O323">
            <v>50.266763671638166</v>
          </cell>
          <cell r="P323">
            <v>1.3910397327328212</v>
          </cell>
          <cell r="R323">
            <v>76.832800644116219</v>
          </cell>
          <cell r="S323">
            <v>73.200514138817496</v>
          </cell>
          <cell r="T323">
            <v>-3.6322865052987225</v>
          </cell>
          <cell r="V323">
            <v>91.173086115572701</v>
          </cell>
          <cell r="W323">
            <v>86.307356270781838</v>
          </cell>
          <cell r="X323">
            <v>-4.865729844790863</v>
          </cell>
          <cell r="Z323">
            <v>70.319379123013022</v>
          </cell>
        </row>
        <row r="324">
          <cell r="A324" t="str">
            <v>Northern Region Total</v>
          </cell>
          <cell r="B324">
            <v>188.03014470686657</v>
          </cell>
          <cell r="C324">
            <v>181.17663548315687</v>
          </cell>
          <cell r="D324">
            <v>-6.8535092237096933</v>
          </cell>
          <cell r="F324">
            <v>81.066049196235426</v>
          </cell>
          <cell r="G324">
            <v>78.372247685540231</v>
          </cell>
          <cell r="H324">
            <v>-2.6938015106951951</v>
          </cell>
          <cell r="J324">
            <v>74.311974645225717</v>
          </cell>
          <cell r="K324">
            <v>74.39517878677367</v>
          </cell>
          <cell r="L324">
            <v>8.3204141547952304E-2</v>
          </cell>
          <cell r="N324">
            <v>50.031661600522753</v>
          </cell>
          <cell r="O324">
            <v>48.66495299613257</v>
          </cell>
          <cell r="P324">
            <v>-1.3667086043901833</v>
          </cell>
          <cell r="R324">
            <v>76.31123585531661</v>
          </cell>
          <cell r="S324">
            <v>75.58535526936349</v>
          </cell>
          <cell r="T324">
            <v>-0.72588058595312077</v>
          </cell>
          <cell r="V324">
            <v>94.225392282982327</v>
          </cell>
          <cell r="W324">
            <v>92.302569605779482</v>
          </cell>
          <cell r="X324">
            <v>-1.9228226772028449</v>
          </cell>
          <cell r="Z324">
            <v>71.476772922388761</v>
          </cell>
        </row>
        <row r="326">
          <cell r="A326" t="str">
            <v>Bay of Plenty DHB</v>
          </cell>
          <cell r="B326">
            <v>204.36041834271921</v>
          </cell>
          <cell r="C326">
            <v>202.15631691648824</v>
          </cell>
          <cell r="D326">
            <v>-2.2041014262309773</v>
          </cell>
          <cell r="F326">
            <v>83.37110481586403</v>
          </cell>
          <cell r="G326">
            <v>79.928234183191691</v>
          </cell>
          <cell r="H326">
            <v>-3.4428706326723386</v>
          </cell>
          <cell r="J326">
            <v>70.068990042674244</v>
          </cell>
          <cell r="K326">
            <v>71.691648822269826</v>
          </cell>
          <cell r="L326">
            <v>1.6226587795955822</v>
          </cell>
          <cell r="N326">
            <v>47.770491803278688</v>
          </cell>
          <cell r="O326">
            <v>48.353448275862064</v>
          </cell>
          <cell r="P326">
            <v>0.58295647258337624</v>
          </cell>
          <cell r="R326">
            <v>66.030036250647328</v>
          </cell>
          <cell r="S326">
            <v>67.744772412012153</v>
          </cell>
          <cell r="T326">
            <v>1.7147361613648258</v>
          </cell>
          <cell r="V326">
            <v>87.837234567901234</v>
          </cell>
          <cell r="W326">
            <v>90.346828930188892</v>
          </cell>
          <cell r="X326">
            <v>2.5095943622876575</v>
          </cell>
          <cell r="Z326">
            <v>65.718189581554228</v>
          </cell>
        </row>
        <row r="327">
          <cell r="A327" t="str">
            <v>Lakes DHB</v>
          </cell>
          <cell r="B327">
            <v>201.83690987124461</v>
          </cell>
          <cell r="C327">
            <v>204.73808303434134</v>
          </cell>
          <cell r="D327">
            <v>2.901173163096729</v>
          </cell>
          <cell r="F327">
            <v>80.957399486740812</v>
          </cell>
          <cell r="G327">
            <v>77.313259195893934</v>
          </cell>
          <cell r="H327">
            <v>-3.6441402908468774</v>
          </cell>
          <cell r="J327">
            <v>71.21413183972426</v>
          </cell>
          <cell r="K327">
            <v>67.325860688550847</v>
          </cell>
          <cell r="L327">
            <v>-3.8882711511734129</v>
          </cell>
          <cell r="N327">
            <v>46.996078431372545</v>
          </cell>
          <cell r="O327">
            <v>45.410852713178294</v>
          </cell>
          <cell r="P327">
            <v>-1.585225718194252</v>
          </cell>
          <cell r="R327">
            <v>66.900616860863607</v>
          </cell>
          <cell r="S327">
            <v>61.742866303302335</v>
          </cell>
          <cell r="T327">
            <v>-5.1577505575612719</v>
          </cell>
          <cell r="V327">
            <v>89.851146689744695</v>
          </cell>
          <cell r="W327">
            <v>87.914569676464367</v>
          </cell>
          <cell r="X327">
            <v>-1.9365770132803277</v>
          </cell>
          <cell r="Z327">
            <v>66.031978680879419</v>
          </cell>
        </row>
        <row r="328">
          <cell r="A328" t="str">
            <v>Tairawhiti DHB</v>
          </cell>
          <cell r="B328">
            <v>274.42131683695459</v>
          </cell>
          <cell r="C328">
            <v>252.47013043478265</v>
          </cell>
          <cell r="D328">
            <v>-21.951186402171942</v>
          </cell>
          <cell r="F328">
            <v>85.823308270676691</v>
          </cell>
          <cell r="G328">
            <v>81.18986466165417</v>
          </cell>
          <cell r="H328">
            <v>-4.6334436090225211</v>
          </cell>
          <cell r="J328">
            <v>70.082804663180355</v>
          </cell>
          <cell r="K328">
            <v>68.672606666666653</v>
          </cell>
          <cell r="L328">
            <v>-1.4101979965137019</v>
          </cell>
          <cell r="N328">
            <v>53.376777251184841</v>
          </cell>
          <cell r="O328">
            <v>54.079250000000016</v>
          </cell>
          <cell r="P328">
            <v>0.70247274881517541</v>
          </cell>
          <cell r="R328">
            <v>64.064319243072319</v>
          </cell>
          <cell r="S328">
            <v>67.974131782945733</v>
          </cell>
          <cell r="T328">
            <v>3.909812539873414</v>
          </cell>
          <cell r="V328">
            <v>94.225816607228566</v>
          </cell>
          <cell r="W328">
            <v>93.574230158730117</v>
          </cell>
          <cell r="X328">
            <v>-0.65158644849844904</v>
          </cell>
          <cell r="Z328">
            <v>66.425728836934937</v>
          </cell>
        </row>
        <row r="329">
          <cell r="A329" t="str">
            <v>Taranaki DHB</v>
          </cell>
          <cell r="B329">
            <v>207.99018271066262</v>
          </cell>
          <cell r="C329">
            <v>188.89102564102564</v>
          </cell>
          <cell r="D329">
            <v>-19.099157069636988</v>
          </cell>
          <cell r="F329">
            <v>80.744227353463586</v>
          </cell>
          <cell r="G329">
            <v>75.683836589698046</v>
          </cell>
          <cell r="H329">
            <v>-5.0603907637655396</v>
          </cell>
          <cell r="J329">
            <v>69.517288771335814</v>
          </cell>
          <cell r="K329">
            <v>66.653225806451616</v>
          </cell>
          <cell r="L329">
            <v>-2.864062964884198</v>
          </cell>
          <cell r="N329">
            <v>45.932460517200568</v>
          </cell>
          <cell r="O329">
            <v>48.457831325301207</v>
          </cell>
          <cell r="P329">
            <v>2.5253708081006394</v>
          </cell>
          <cell r="R329">
            <v>67.098318999218137</v>
          </cell>
          <cell r="S329">
            <v>59.510273972602739</v>
          </cell>
          <cell r="T329">
            <v>-7.5880450266153971</v>
          </cell>
          <cell r="V329">
            <v>86.072536672178245</v>
          </cell>
          <cell r="W329">
            <v>81.971684053651273</v>
          </cell>
          <cell r="X329">
            <v>-4.1008526185269716</v>
          </cell>
          <cell r="Z329">
            <v>64.687554622105196</v>
          </cell>
        </row>
        <row r="330">
          <cell r="A330" t="str">
            <v>Waikato DHB</v>
          </cell>
          <cell r="B330">
            <v>208.86995951031824</v>
          </cell>
          <cell r="C330">
            <v>213.41585606500288</v>
          </cell>
          <cell r="D330">
            <v>4.5458965546846457</v>
          </cell>
          <cell r="F330">
            <v>77.345807426770619</v>
          </cell>
          <cell r="G330">
            <v>74.507878586830316</v>
          </cell>
          <cell r="H330">
            <v>-2.8379288399403038</v>
          </cell>
          <cell r="J330">
            <v>69.151241371246812</v>
          </cell>
          <cell r="K330">
            <v>68.20350535540409</v>
          </cell>
          <cell r="L330">
            <v>-0.94773601584272171</v>
          </cell>
          <cell r="N330">
            <v>47.130214450478505</v>
          </cell>
          <cell r="O330">
            <v>44.678675754625125</v>
          </cell>
          <cell r="P330">
            <v>-2.4515386958533796</v>
          </cell>
          <cell r="R330">
            <v>65.394309962114036</v>
          </cell>
          <cell r="S330">
            <v>63.018768826755228</v>
          </cell>
          <cell r="T330">
            <v>-2.3755411353588087</v>
          </cell>
          <cell r="V330">
            <v>89.690739462176211</v>
          </cell>
          <cell r="W330">
            <v>86.948760621670402</v>
          </cell>
          <cell r="X330">
            <v>-2.7419788405058085</v>
          </cell>
          <cell r="Z330">
            <v>64.343747030672091</v>
          </cell>
        </row>
        <row r="331">
          <cell r="A331" t="str">
            <v>Midland Region Total</v>
          </cell>
          <cell r="B331">
            <v>210.08035415472912</v>
          </cell>
          <cell r="C331">
            <v>209.14756311022234</v>
          </cell>
          <cell r="D331">
            <v>-0.93279104450678574</v>
          </cell>
          <cell r="F331">
            <v>79.86429364116907</v>
          </cell>
          <cell r="G331">
            <v>76.461174641066748</v>
          </cell>
          <cell r="H331">
            <v>-3.4031190001023219</v>
          </cell>
          <cell r="J331">
            <v>69.665059822493475</v>
          </cell>
          <cell r="K331">
            <v>68.742587572414891</v>
          </cell>
          <cell r="L331">
            <v>-0.92247225007858447</v>
          </cell>
          <cell r="N331">
            <v>47.225466230566525</v>
          </cell>
          <cell r="O331">
            <v>46.186440096488887</v>
          </cell>
          <cell r="P331">
            <v>-1.0390261340776377</v>
          </cell>
          <cell r="R331">
            <v>65.8328013677923</v>
          </cell>
          <cell r="S331">
            <v>63.658600237233692</v>
          </cell>
          <cell r="T331">
            <v>-2.1742011305586075</v>
          </cell>
          <cell r="V331">
            <v>89.119840950862141</v>
          </cell>
          <cell r="W331">
            <v>87.554511860501989</v>
          </cell>
          <cell r="X331">
            <v>-1.5653290903601516</v>
          </cell>
          <cell r="Z331">
            <v>64.990751485391314</v>
          </cell>
        </row>
        <row r="333">
          <cell r="A333" t="str">
            <v>Capital &amp; Coast DHB</v>
          </cell>
          <cell r="B333">
            <v>161.02893477439156</v>
          </cell>
          <cell r="C333">
            <v>165.28554014467002</v>
          </cell>
          <cell r="D333">
            <v>4.2566053702784643</v>
          </cell>
          <cell r="F333">
            <v>78.343348137423519</v>
          </cell>
          <cell r="G333">
            <v>77.116377641871921</v>
          </cell>
          <cell r="H333">
            <v>-1.2269704955515977</v>
          </cell>
          <cell r="J333">
            <v>73.576131268284314</v>
          </cell>
          <cell r="K333">
            <v>72.551298766791078</v>
          </cell>
          <cell r="L333">
            <v>-1.0248325014932362</v>
          </cell>
          <cell r="N333">
            <v>47.607466180921229</v>
          </cell>
          <cell r="O333">
            <v>46.880606674662097</v>
          </cell>
          <cell r="P333">
            <v>-0.72685950625913165</v>
          </cell>
          <cell r="R333">
            <v>67.242762135949732</v>
          </cell>
          <cell r="S333">
            <v>66.766774035810272</v>
          </cell>
          <cell r="T333">
            <v>-0.47598810013946036</v>
          </cell>
          <cell r="V333">
            <v>87.857598300745366</v>
          </cell>
          <cell r="W333">
            <v>88.542793846855233</v>
          </cell>
          <cell r="X333">
            <v>0.68519554610986688</v>
          </cell>
          <cell r="Z333">
            <v>68.020344258837042</v>
          </cell>
        </row>
        <row r="334">
          <cell r="A334" t="str">
            <v>Hawke's Bay DHB</v>
          </cell>
          <cell r="B334">
            <v>164.65774175131804</v>
          </cell>
          <cell r="C334">
            <v>169.28769769306132</v>
          </cell>
          <cell r="D334">
            <v>4.6299559417432761</v>
          </cell>
          <cell r="F334">
            <v>80.888619792951175</v>
          </cell>
          <cell r="G334">
            <v>78.564635611252953</v>
          </cell>
          <cell r="H334">
            <v>-2.3239841816982221</v>
          </cell>
          <cell r="J334">
            <v>70.329756933396112</v>
          </cell>
          <cell r="K334">
            <v>70.457853612462642</v>
          </cell>
          <cell r="L334">
            <v>0.12809667906653033</v>
          </cell>
          <cell r="N334">
            <v>48.686380615814009</v>
          </cell>
          <cell r="O334">
            <v>48.60623089233755</v>
          </cell>
          <cell r="P334">
            <v>-8.0149723476459656E-2</v>
          </cell>
          <cell r="R334">
            <v>64.47712926831899</v>
          </cell>
          <cell r="S334">
            <v>66.44653382732389</v>
          </cell>
          <cell r="T334">
            <v>1.9694045590049001</v>
          </cell>
          <cell r="V334">
            <v>84.02033602690922</v>
          </cell>
          <cell r="W334">
            <v>85.050986287838796</v>
          </cell>
          <cell r="X334">
            <v>1.0306502609295762</v>
          </cell>
          <cell r="Z334">
            <v>64.72755568578863</v>
          </cell>
        </row>
        <row r="335">
          <cell r="A335" t="str">
            <v>Hutt Valley DHB</v>
          </cell>
          <cell r="B335">
            <v>192.54471544715446</v>
          </cell>
          <cell r="C335">
            <v>198.7581038230156</v>
          </cell>
          <cell r="D335">
            <v>6.2133883758611432</v>
          </cell>
          <cell r="F335">
            <v>84.756844288536584</v>
          </cell>
          <cell r="G335">
            <v>79.832503488156163</v>
          </cell>
          <cell r="H335">
            <v>-4.9243408003804205</v>
          </cell>
          <cell r="J335">
            <v>70.480379146919432</v>
          </cell>
          <cell r="K335">
            <v>70.957981122517324</v>
          </cell>
          <cell r="L335">
            <v>0.47760197559789219</v>
          </cell>
          <cell r="N335">
            <v>49.611510791366904</v>
          </cell>
          <cell r="O335">
            <v>48.837110332408905</v>
          </cell>
          <cell r="P335">
            <v>-0.77440045895799869</v>
          </cell>
          <cell r="R335">
            <v>65.715936287860032</v>
          </cell>
          <cell r="S335">
            <v>64.173863727822592</v>
          </cell>
          <cell r="T335">
            <v>-1.5420725600374396</v>
          </cell>
          <cell r="V335">
            <v>87.507247788041482</v>
          </cell>
          <cell r="W335">
            <v>88.473899457637657</v>
          </cell>
          <cell r="X335">
            <v>0.96665166959617466</v>
          </cell>
          <cell r="Z335">
            <v>65.552414894924425</v>
          </cell>
        </row>
        <row r="336">
          <cell r="A336" t="str">
            <v>MidCentral DHB</v>
          </cell>
          <cell r="B336">
            <v>194.27610714149247</v>
          </cell>
          <cell r="C336">
            <v>197.87093215664643</v>
          </cell>
          <cell r="D336">
            <v>3.5948250151539582</v>
          </cell>
          <cell r="F336">
            <v>80.010779796574809</v>
          </cell>
          <cell r="G336">
            <v>78.419890463357376</v>
          </cell>
          <cell r="H336">
            <v>-1.590889333217433</v>
          </cell>
          <cell r="J336">
            <v>71.074420298652441</v>
          </cell>
          <cell r="K336">
            <v>70.024086870681145</v>
          </cell>
          <cell r="L336">
            <v>-1.0503334279712959</v>
          </cell>
          <cell r="N336">
            <v>46.843741804967593</v>
          </cell>
          <cell r="O336">
            <v>44.391304347826086</v>
          </cell>
          <cell r="P336">
            <v>-2.4524374571415066</v>
          </cell>
          <cell r="R336">
            <v>54.780206082765488</v>
          </cell>
          <cell r="S336">
            <v>57.083006048387098</v>
          </cell>
          <cell r="T336">
            <v>2.3027999656216096</v>
          </cell>
          <cell r="V336">
            <v>87.711991017828538</v>
          </cell>
          <cell r="W336">
            <v>87.590008689789499</v>
          </cell>
          <cell r="X336">
            <v>-0.12198232803903863</v>
          </cell>
          <cell r="Z336">
            <v>61.56030990777063</v>
          </cell>
        </row>
        <row r="337">
          <cell r="A337" t="str">
            <v>Wairarapa DHB</v>
          </cell>
          <cell r="B337">
            <v>237.24137362886316</v>
          </cell>
          <cell r="C337">
            <v>224.08230762351658</v>
          </cell>
          <cell r="D337">
            <v>-13.159066005346574</v>
          </cell>
          <cell r="F337">
            <v>82.177133577625298</v>
          </cell>
          <cell r="G337">
            <v>80.353919601567455</v>
          </cell>
          <cell r="H337">
            <v>-1.8232139760578434</v>
          </cell>
          <cell r="J337">
            <v>71.474363836433582</v>
          </cell>
          <cell r="K337">
            <v>71.302682967734526</v>
          </cell>
          <cell r="L337">
            <v>-0.17168086869905608</v>
          </cell>
          <cell r="N337">
            <v>54.913346095820074</v>
          </cell>
          <cell r="O337">
            <v>54.464820964785034</v>
          </cell>
          <cell r="P337">
            <v>-0.44852513103504066</v>
          </cell>
          <cell r="R337">
            <v>52.337425197439131</v>
          </cell>
          <cell r="S337">
            <v>49.870741917838586</v>
          </cell>
          <cell r="T337">
            <v>-2.4666832796005451</v>
          </cell>
          <cell r="V337">
            <v>86.132606066486701</v>
          </cell>
          <cell r="W337">
            <v>86.22913794291776</v>
          </cell>
          <cell r="X337">
            <v>9.6531876431058095E-2</v>
          </cell>
          <cell r="Z337">
            <v>60.246910791334415</v>
          </cell>
        </row>
        <row r="338">
          <cell r="A338" t="str">
            <v>Whanganui DHB</v>
          </cell>
          <cell r="B338">
            <v>214.64973711251187</v>
          </cell>
          <cell r="C338">
            <v>225.42783639685314</v>
          </cell>
          <cell r="D338">
            <v>10.778099284341266</v>
          </cell>
          <cell r="F338">
            <v>79.815032327938525</v>
          </cell>
          <cell r="G338">
            <v>78.941622302464054</v>
          </cell>
          <cell r="H338">
            <v>-0.87341002547447033</v>
          </cell>
          <cell r="J338">
            <v>70.651235400697644</v>
          </cell>
          <cell r="K338">
            <v>69.788771539744261</v>
          </cell>
          <cell r="L338">
            <v>-0.86246386095338323</v>
          </cell>
          <cell r="N338">
            <v>46.066330250837744</v>
          </cell>
          <cell r="O338">
            <v>47.018489041263635</v>
          </cell>
          <cell r="P338">
            <v>0.9521587904258908</v>
          </cell>
          <cell r="R338">
            <v>61.930748150639111</v>
          </cell>
          <cell r="S338">
            <v>64.083481714506632</v>
          </cell>
          <cell r="T338">
            <v>2.1527335638675211</v>
          </cell>
          <cell r="V338">
            <v>88.613516798876759</v>
          </cell>
          <cell r="W338">
            <v>89.467478976998862</v>
          </cell>
          <cell r="X338">
            <v>0.85396217812210296</v>
          </cell>
          <cell r="Z338">
            <v>64.680859945082318</v>
          </cell>
        </row>
        <row r="339">
          <cell r="A339" t="str">
            <v>Central Region Total</v>
          </cell>
          <cell r="B339">
            <v>176.06808711787644</v>
          </cell>
          <cell r="C339">
            <v>180.60102872284975</v>
          </cell>
          <cell r="D339">
            <v>4.5329416049733027</v>
          </cell>
          <cell r="F339">
            <v>80.222083639126453</v>
          </cell>
          <cell r="G339">
            <v>78.239751281367262</v>
          </cell>
          <cell r="H339">
            <v>-1.9823323577591907</v>
          </cell>
          <cell r="J339">
            <v>71.659850328575558</v>
          </cell>
          <cell r="K339">
            <v>71.168043612617709</v>
          </cell>
          <cell r="L339">
            <v>-0.49180671595784986</v>
          </cell>
          <cell r="N339">
            <v>48.477130900641193</v>
          </cell>
          <cell r="O339">
            <v>47.78113439782534</v>
          </cell>
          <cell r="P339">
            <v>-0.69599650281585212</v>
          </cell>
          <cell r="R339">
            <v>62.924970116311378</v>
          </cell>
          <cell r="S339">
            <v>63.369553084453628</v>
          </cell>
          <cell r="T339">
            <v>0.44458296814224951</v>
          </cell>
          <cell r="V339">
            <v>87.094876505867987</v>
          </cell>
          <cell r="W339">
            <v>87.728576722797925</v>
          </cell>
          <cell r="X339">
            <v>0.63370021692993816</v>
          </cell>
          <cell r="Z339">
            <v>65.28390370645252</v>
          </cell>
        </row>
        <row r="341">
          <cell r="A341" t="str">
            <v>Canterbury DHB</v>
          </cell>
          <cell r="B341">
            <v>192.80492879583775</v>
          </cell>
          <cell r="C341">
            <v>188.46908315565031</v>
          </cell>
          <cell r="D341">
            <v>-4.3358456401874435</v>
          </cell>
          <cell r="F341">
            <v>73.664882256677657</v>
          </cell>
          <cell r="G341">
            <v>73.090172801153841</v>
          </cell>
          <cell r="H341">
            <v>-0.57470945552381636</v>
          </cell>
          <cell r="J341">
            <v>69.276256645350458</v>
          </cell>
          <cell r="K341">
            <v>70.193979002989636</v>
          </cell>
          <cell r="L341">
            <v>0.9177223576391782</v>
          </cell>
          <cell r="N341">
            <v>47.815135202775195</v>
          </cell>
          <cell r="O341">
            <v>48.675496688741731</v>
          </cell>
          <cell r="P341">
            <v>0.86036148596653561</v>
          </cell>
          <cell r="R341">
            <v>65.437715301784593</v>
          </cell>
          <cell r="S341">
            <v>65.970702272095693</v>
          </cell>
          <cell r="T341">
            <v>0.53298697031110009</v>
          </cell>
          <cell r="V341">
            <v>84.654433893854616</v>
          </cell>
          <cell r="W341">
            <v>84.433012062453827</v>
          </cell>
          <cell r="X341">
            <v>-0.22142183140078942</v>
          </cell>
          <cell r="Z341">
            <v>65.201140091646749</v>
          </cell>
        </row>
        <row r="342">
          <cell r="A342" t="str">
            <v>Nelson Marlborough DHB</v>
          </cell>
          <cell r="B342">
            <v>223.12941135625786</v>
          </cell>
          <cell r="C342">
            <v>245.36918880434777</v>
          </cell>
          <cell r="D342">
            <v>22.23977744808991</v>
          </cell>
          <cell r="F342">
            <v>84.952499383886277</v>
          </cell>
          <cell r="G342">
            <v>82.887607804107404</v>
          </cell>
          <cell r="H342">
            <v>-2.0648915797788732</v>
          </cell>
          <cell r="J342">
            <v>65.167767996647555</v>
          </cell>
          <cell r="K342">
            <v>65.576025192982456</v>
          </cell>
          <cell r="L342">
            <v>0.4082571963349011</v>
          </cell>
          <cell r="N342">
            <v>49.717455769043205</v>
          </cell>
          <cell r="O342">
            <v>49.057781747572797</v>
          </cell>
          <cell r="P342">
            <v>-0.65967402147040843</v>
          </cell>
          <cell r="R342">
            <v>62.766073960301284</v>
          </cell>
          <cell r="S342">
            <v>63.673860865671628</v>
          </cell>
          <cell r="T342">
            <v>0.90778690537034379</v>
          </cell>
          <cell r="V342">
            <v>85.829999421261149</v>
          </cell>
          <cell r="W342">
            <v>88.426200410958941</v>
          </cell>
          <cell r="X342">
            <v>2.5962009896977918</v>
          </cell>
          <cell r="Z342">
            <v>62.796643667932273</v>
          </cell>
        </row>
        <row r="343">
          <cell r="A343" t="str">
            <v>South Canterbury DHB</v>
          </cell>
          <cell r="B343">
            <v>258.16757783723</v>
          </cell>
          <cell r="C343">
            <v>263.49992495872732</v>
          </cell>
          <cell r="D343">
            <v>5.332347121497321</v>
          </cell>
          <cell r="F343">
            <v>83.583733667880423</v>
          </cell>
          <cell r="G343">
            <v>80.162785716471348</v>
          </cell>
          <cell r="H343">
            <v>-3.4209479514090759</v>
          </cell>
          <cell r="J343">
            <v>72.641734985847705</v>
          </cell>
          <cell r="K343">
            <v>71.634446397188071</v>
          </cell>
          <cell r="L343">
            <v>-1.0072885886596339</v>
          </cell>
          <cell r="N343">
            <v>45.225644005423199</v>
          </cell>
          <cell r="O343">
            <v>46.262785208497235</v>
          </cell>
          <cell r="P343">
            <v>1.0371412030740359</v>
          </cell>
          <cell r="R343">
            <v>66.014719225728399</v>
          </cell>
          <cell r="S343">
            <v>66.183417494705992</v>
          </cell>
          <cell r="T343">
            <v>0.1686982689775931</v>
          </cell>
          <cell r="V343">
            <v>91.679863504655259</v>
          </cell>
          <cell r="W343">
            <v>91.626766148694315</v>
          </cell>
          <cell r="X343">
            <v>-5.309735596094356E-2</v>
          </cell>
          <cell r="Z343">
            <v>64.755201203283178</v>
          </cell>
        </row>
        <row r="344">
          <cell r="A344" t="str">
            <v>Southern DHB</v>
          </cell>
          <cell r="B344">
            <v>222.57814853660156</v>
          </cell>
          <cell r="C344">
            <v>217.55050151028573</v>
          </cell>
          <cell r="D344">
            <v>-5.027647026315833</v>
          </cell>
          <cell r="F344">
            <v>80.354110857346825</v>
          </cell>
          <cell r="G344">
            <v>77.92359590699526</v>
          </cell>
          <cell r="H344">
            <v>-2.4305149503515651</v>
          </cell>
          <cell r="J344">
            <v>73.310734943456424</v>
          </cell>
          <cell r="K344">
            <v>71.953389047522421</v>
          </cell>
          <cell r="L344">
            <v>-1.357345895934003</v>
          </cell>
          <cell r="N344">
            <v>52.760120139244485</v>
          </cell>
          <cell r="O344">
            <v>50.518071892706729</v>
          </cell>
          <cell r="P344">
            <v>-2.242048246537756</v>
          </cell>
          <cell r="R344">
            <v>64.072887141270684</v>
          </cell>
          <cell r="S344">
            <v>62.927177290185682</v>
          </cell>
          <cell r="T344">
            <v>-1.1457098510850017</v>
          </cell>
          <cell r="V344">
            <v>94.358033587855346</v>
          </cell>
          <cell r="W344">
            <v>92.486658635363256</v>
          </cell>
          <cell r="X344">
            <v>-1.87137495249209</v>
          </cell>
          <cell r="Z344">
            <v>66.611160289717546</v>
          </cell>
        </row>
        <row r="345">
          <cell r="A345" t="str">
            <v>West Coast DHB</v>
          </cell>
          <cell r="B345">
            <v>296.50416793959761</v>
          </cell>
          <cell r="C345">
            <v>294.39252336448595</v>
          </cell>
          <cell r="D345">
            <v>-2.1116445751116544</v>
          </cell>
          <cell r="F345">
            <v>86.269113149847101</v>
          </cell>
          <cell r="G345">
            <v>79.186544342507645</v>
          </cell>
          <cell r="H345">
            <v>-7.0825688073394559</v>
          </cell>
          <cell r="J345">
            <v>63.757769323501321</v>
          </cell>
          <cell r="K345">
            <v>59.801369863013697</v>
          </cell>
          <cell r="L345">
            <v>-3.9563994604876243</v>
          </cell>
          <cell r="N345">
            <v>53.056535002575181</v>
          </cell>
          <cell r="O345">
            <v>49.925925925925924</v>
          </cell>
          <cell r="P345">
            <v>-3.1306090766492574</v>
          </cell>
          <cell r="R345">
            <v>60.145860145860148</v>
          </cell>
          <cell r="S345">
            <v>55.873015873015873</v>
          </cell>
          <cell r="T345">
            <v>-4.2728442728442744</v>
          </cell>
          <cell r="V345">
            <v>86.817082231567255</v>
          </cell>
          <cell r="W345">
            <v>83.153409090909079</v>
          </cell>
          <cell r="X345">
            <v>-3.663673140658176</v>
          </cell>
          <cell r="Z345">
            <v>61.584435972191081</v>
          </cell>
        </row>
        <row r="346">
          <cell r="A346" t="str">
            <v>Southern Region Total</v>
          </cell>
          <cell r="B346">
            <v>209.70017895147504</v>
          </cell>
          <cell r="C346">
            <v>208.53275849064349</v>
          </cell>
          <cell r="D346">
            <v>-1.1674204608315506</v>
          </cell>
          <cell r="F346">
            <v>77.5491450230071</v>
          </cell>
          <cell r="G346">
            <v>75.900437245168291</v>
          </cell>
          <cell r="H346">
            <v>-1.6487077778388084</v>
          </cell>
          <cell r="J346">
            <v>69.198377327266144</v>
          </cell>
          <cell r="K346">
            <v>69.250809653682026</v>
          </cell>
          <cell r="L346">
            <v>5.2432326415882358E-2</v>
          </cell>
          <cell r="N346">
            <v>49.36531638462673</v>
          </cell>
          <cell r="O346">
            <v>49.090024619023666</v>
          </cell>
          <cell r="P346">
            <v>-0.27529176560306468</v>
          </cell>
          <cell r="R346">
            <v>64.491513012921985</v>
          </cell>
          <cell r="S346">
            <v>64.357216158823263</v>
          </cell>
          <cell r="T346">
            <v>-0.1342968540987215</v>
          </cell>
          <cell r="V346">
            <v>87.68229175713023</v>
          </cell>
          <cell r="W346">
            <v>87.26277773323703</v>
          </cell>
          <cell r="X346">
            <v>-0.41951402389319981</v>
          </cell>
          <cell r="Z346">
            <v>64.956809576148572</v>
          </cell>
        </row>
        <row r="347">
          <cell r="A347" t="str">
            <v>TOTAL</v>
          </cell>
          <cell r="B347">
            <v>193.40574090562257</v>
          </cell>
          <cell r="C347">
            <v>191.11633191781434</v>
          </cell>
          <cell r="D347">
            <v>-2.2894089878082298</v>
          </cell>
          <cell r="F347">
            <v>79.798858146120722</v>
          </cell>
          <cell r="G347">
            <v>77.372876950150456</v>
          </cell>
          <cell r="H347">
            <v>-2.425981195970266</v>
          </cell>
          <cell r="J347">
            <v>71.767681274493057</v>
          </cell>
          <cell r="K347">
            <v>71.570197538392293</v>
          </cell>
          <cell r="L347">
            <v>-0.19748373610076442</v>
          </cell>
          <cell r="N347">
            <v>49.075718039947667</v>
          </cell>
          <cell r="O347">
            <v>48.154552642958251</v>
          </cell>
          <cell r="P347">
            <v>-0.9211653969894158</v>
          </cell>
          <cell r="R347">
            <v>68.162203136148108</v>
          </cell>
          <cell r="S347">
            <v>67.559017896439514</v>
          </cell>
          <cell r="T347">
            <v>-0.60318523970859417</v>
          </cell>
          <cell r="V347">
            <v>90.287588372066708</v>
          </cell>
          <cell r="W347">
            <v>89.314890634813622</v>
          </cell>
          <cell r="X347">
            <v>-0.97269773725308539</v>
          </cell>
          <cell r="Z347">
            <v>67.421610665440454</v>
          </cell>
        </row>
        <row r="364">
          <cell r="A364" t="str">
            <v>Auckland DHB</v>
          </cell>
          <cell r="B364">
            <v>198.60583791746262</v>
          </cell>
          <cell r="C364">
            <v>193.90852795555242</v>
          </cell>
          <cell r="D364">
            <v>-4.6973099619102072</v>
          </cell>
          <cell r="F364">
            <v>85.084732928031926</v>
          </cell>
          <cell r="G364">
            <v>80.692463532282247</v>
          </cell>
          <cell r="H364">
            <v>-4.392269395749679</v>
          </cell>
          <cell r="J364">
            <v>80.347428334215635</v>
          </cell>
          <cell r="K364">
            <v>79.594780732671879</v>
          </cell>
          <cell r="L364">
            <v>-0.75264760154375665</v>
          </cell>
          <cell r="N364">
            <v>49.032689121266387</v>
          </cell>
          <cell r="O364">
            <v>48.496935527414507</v>
          </cell>
          <cell r="P364">
            <v>-0.53575359385187937</v>
          </cell>
          <cell r="R364">
            <v>77.118116171314867</v>
          </cell>
          <cell r="S364">
            <v>76.737728899815025</v>
          </cell>
          <cell r="T364">
            <v>-0.38038727149984197</v>
          </cell>
          <cell r="V364">
            <v>103.49134819690208</v>
          </cell>
          <cell r="W364">
            <v>100.30743901317346</v>
          </cell>
          <cell r="X364">
            <v>-3.1839091837286162</v>
          </cell>
          <cell r="Z364">
            <v>75.759469619723447</v>
          </cell>
        </row>
        <row r="365">
          <cell r="A365" t="str">
            <v>Counties Manukau DHB</v>
          </cell>
          <cell r="B365">
            <v>186.20500431406384</v>
          </cell>
          <cell r="C365">
            <v>176.4143818748974</v>
          </cell>
          <cell r="D365">
            <v>-9.7906224391664409</v>
          </cell>
          <cell r="F365">
            <v>77.754017343735427</v>
          </cell>
          <cell r="G365">
            <v>80.018794270322104</v>
          </cell>
          <cell r="H365">
            <v>2.2647769265866771</v>
          </cell>
          <cell r="J365">
            <v>71.105612552806278</v>
          </cell>
          <cell r="K365">
            <v>71.966960958866395</v>
          </cell>
          <cell r="L365">
            <v>0.86134840606011664</v>
          </cell>
          <cell r="N365">
            <v>52.430769230769229</v>
          </cell>
          <cell r="O365">
            <v>49.248322079037344</v>
          </cell>
          <cell r="P365">
            <v>-3.1824471517318855</v>
          </cell>
          <cell r="R365">
            <v>82.627447198379784</v>
          </cell>
          <cell r="S365">
            <v>77.360949875001637</v>
          </cell>
          <cell r="T365">
            <v>-5.2664973233781467</v>
          </cell>
          <cell r="V365">
            <v>92.274318085874199</v>
          </cell>
          <cell r="W365">
            <v>91.675357751194142</v>
          </cell>
          <cell r="X365">
            <v>-0.59896033468005783</v>
          </cell>
          <cell r="Z365">
            <v>71.327401415571288</v>
          </cell>
        </row>
        <row r="366">
          <cell r="A366" t="str">
            <v>Northland DHB</v>
          </cell>
          <cell r="B366">
            <v>205.07606169986983</v>
          </cell>
          <cell r="C366">
            <v>198.14548382763624</v>
          </cell>
          <cell r="D366">
            <v>-6.9305778722335845</v>
          </cell>
          <cell r="F366">
            <v>78.562626546647053</v>
          </cell>
          <cell r="G366">
            <v>81.417890898766032</v>
          </cell>
          <cell r="H366">
            <v>2.8552643521189793</v>
          </cell>
          <cell r="J366">
            <v>71.775887503173536</v>
          </cell>
          <cell r="K366">
            <v>68.066997299021907</v>
          </cell>
          <cell r="L366">
            <v>-3.7088902041516292</v>
          </cell>
          <cell r="N366">
            <v>48.05555561327693</v>
          </cell>
          <cell r="O366">
            <v>47.419830626440842</v>
          </cell>
          <cell r="P366">
            <v>-0.63572498683608814</v>
          </cell>
          <cell r="R366">
            <v>73.043835511420824</v>
          </cell>
          <cell r="S366">
            <v>72.41782901002621</v>
          </cell>
          <cell r="T366">
            <v>-0.62600650139461322</v>
          </cell>
          <cell r="V366">
            <v>90.462552108876778</v>
          </cell>
          <cell r="W366">
            <v>90.041483819171162</v>
          </cell>
          <cell r="X366">
            <v>-0.42106828970561594</v>
          </cell>
          <cell r="Z366">
            <v>69.866025239176295</v>
          </cell>
        </row>
        <row r="367">
          <cell r="A367" t="str">
            <v>Waitemata DHB</v>
          </cell>
          <cell r="B367">
            <v>191.91546242570084</v>
          </cell>
          <cell r="C367">
            <v>175.46682388251693</v>
          </cell>
          <cell r="D367">
            <v>-16.448638543183904</v>
          </cell>
          <cell r="F367">
            <v>79.151402148105461</v>
          </cell>
          <cell r="G367">
            <v>76.486215538847119</v>
          </cell>
          <cell r="H367">
            <v>-2.6651866092583418</v>
          </cell>
          <cell r="J367">
            <v>70.887019346692909</v>
          </cell>
          <cell r="K367">
            <v>68.072563814416441</v>
          </cell>
          <cell r="L367">
            <v>-2.8144555322764688</v>
          </cell>
          <cell r="N367">
            <v>48.514313525038688</v>
          </cell>
          <cell r="O367">
            <v>46.160563544274318</v>
          </cell>
          <cell r="P367">
            <v>-2.3537499807643698</v>
          </cell>
          <cell r="R367">
            <v>77.914328978002786</v>
          </cell>
          <cell r="S367">
            <v>78.816588785046733</v>
          </cell>
          <cell r="T367">
            <v>0.90225980704394715</v>
          </cell>
          <cell r="V367">
            <v>91.041180779957131</v>
          </cell>
          <cell r="W367">
            <v>87.409701836737511</v>
          </cell>
          <cell r="X367">
            <v>-3.6314789432196193</v>
          </cell>
          <cell r="Z367">
            <v>70.517238959138311</v>
          </cell>
        </row>
        <row r="368">
          <cell r="A368" t="str">
            <v>Northern Region Total</v>
          </cell>
          <cell r="B368">
            <v>194.33974646881998</v>
          </cell>
          <cell r="C368">
            <v>185.22047789727722</v>
          </cell>
          <cell r="D368">
            <v>-9.1192685715427615</v>
          </cell>
          <cell r="F368">
            <v>80.773986649836516</v>
          </cell>
          <cell r="G368">
            <v>79.38692866899936</v>
          </cell>
          <cell r="H368">
            <v>-1.3870579808371559</v>
          </cell>
          <cell r="J368">
            <v>74.42524973644511</v>
          </cell>
          <cell r="K368">
            <v>73.141680617215499</v>
          </cell>
          <cell r="L368">
            <v>-1.283569119229611</v>
          </cell>
          <cell r="N368">
            <v>50.156517970009951</v>
          </cell>
          <cell r="O368">
            <v>48.089013155096659</v>
          </cell>
          <cell r="P368">
            <v>-2.067504814913292</v>
          </cell>
          <cell r="R368">
            <v>78.295387018847819</v>
          </cell>
          <cell r="S368">
            <v>76.940372600402426</v>
          </cell>
          <cell r="T368">
            <v>-1.3550144184453927</v>
          </cell>
          <cell r="V368">
            <v>95.806886395934413</v>
          </cell>
          <cell r="W368">
            <v>93.4911032271186</v>
          </cell>
          <cell r="X368">
            <v>-2.3157831688158126</v>
          </cell>
          <cell r="Z368">
            <v>72.482939560094593</v>
          </cell>
        </row>
        <row r="370">
          <cell r="A370" t="str">
            <v>Bay of Plenty DHB</v>
          </cell>
          <cell r="B370">
            <v>211.88935162961025</v>
          </cell>
          <cell r="C370">
            <v>203.91614906832294</v>
          </cell>
          <cell r="D370">
            <v>-7.9732025612873088</v>
          </cell>
          <cell r="F370">
            <v>79.207438255888874</v>
          </cell>
          <cell r="G370">
            <v>81.260056127221716</v>
          </cell>
          <cell r="H370">
            <v>2.052617871332842</v>
          </cell>
          <cell r="J370">
            <v>71.289933058680987</v>
          </cell>
          <cell r="K370">
            <v>71.745302713987485</v>
          </cell>
          <cell r="L370">
            <v>0.45536965530649809</v>
          </cell>
          <cell r="N370">
            <v>49.631447366104183</v>
          </cell>
          <cell r="O370">
            <v>48.470085470085479</v>
          </cell>
          <cell r="P370">
            <v>-1.161361896018704</v>
          </cell>
          <cell r="R370">
            <v>68.390216514266086</v>
          </cell>
          <cell r="S370">
            <v>68.676724137931075</v>
          </cell>
          <cell r="T370">
            <v>0.28650762366498839</v>
          </cell>
          <cell r="V370">
            <v>90.858825521009479</v>
          </cell>
          <cell r="W370">
            <v>91.56711546307622</v>
          </cell>
          <cell r="X370">
            <v>0.70828994206674167</v>
          </cell>
          <cell r="Z370">
            <v>67.709822944898917</v>
          </cell>
        </row>
        <row r="371">
          <cell r="A371" t="str">
            <v>Lakes DHB</v>
          </cell>
          <cell r="B371">
            <v>205.12016503352243</v>
          </cell>
          <cell r="C371">
            <v>207.27828746177369</v>
          </cell>
          <cell r="D371">
            <v>2.1581224282512608</v>
          </cell>
          <cell r="F371">
            <v>80.133899412148921</v>
          </cell>
          <cell r="G371">
            <v>80.641617523167653</v>
          </cell>
          <cell r="H371">
            <v>0.50771811101873254</v>
          </cell>
          <cell r="J371">
            <v>74.154362416107389</v>
          </cell>
          <cell r="K371">
            <v>73.697877652933826</v>
          </cell>
          <cell r="L371">
            <v>-0.45648476317356312</v>
          </cell>
          <cell r="N371">
            <v>48.885496183206108</v>
          </cell>
          <cell r="O371">
            <v>48.238726790450926</v>
          </cell>
          <cell r="P371">
            <v>-0.64676939275518208</v>
          </cell>
          <cell r="R371">
            <v>68.840599455040874</v>
          </cell>
          <cell r="S371">
            <v>67.342339373970347</v>
          </cell>
          <cell r="T371">
            <v>-1.4982600810705264</v>
          </cell>
          <cell r="V371">
            <v>92.158373914884606</v>
          </cell>
          <cell r="W371">
            <v>92.493434594364402</v>
          </cell>
          <cell r="X371">
            <v>0.33506067947979545</v>
          </cell>
          <cell r="Z371">
            <v>68.346544382574521</v>
          </cell>
        </row>
        <row r="372">
          <cell r="A372" t="str">
            <v>Tairawhiti DHB</v>
          </cell>
          <cell r="B372">
            <v>292.98555089862896</v>
          </cell>
          <cell r="C372">
            <v>276.20390322582239</v>
          </cell>
          <cell r="D372">
            <v>-16.781647672806571</v>
          </cell>
          <cell r="F372">
            <v>85.004614735039283</v>
          </cell>
          <cell r="G372">
            <v>80.705562962874069</v>
          </cell>
          <cell r="H372">
            <v>-4.2990517721652139</v>
          </cell>
          <cell r="J372">
            <v>69.703065938681235</v>
          </cell>
          <cell r="K372">
            <v>70.443176870673497</v>
          </cell>
          <cell r="L372">
            <v>0.74011093199226252</v>
          </cell>
          <cell r="N372">
            <v>53.72931335600699</v>
          </cell>
          <cell r="O372">
            <v>54.012600000000006</v>
          </cell>
          <cell r="P372">
            <v>0.28328664399301573</v>
          </cell>
          <cell r="R372">
            <v>63.56694138917274</v>
          </cell>
          <cell r="S372">
            <v>64.453814814859257</v>
          </cell>
          <cell r="T372">
            <v>0.88687342568651673</v>
          </cell>
          <cell r="V372">
            <v>98.405762173440735</v>
          </cell>
          <cell r="W372">
            <v>93.452694753532541</v>
          </cell>
          <cell r="X372">
            <v>-4.9530674199081943</v>
          </cell>
          <cell r="Z372">
            <v>66.001982107782553</v>
          </cell>
        </row>
        <row r="373">
          <cell r="A373" t="str">
            <v>Taranaki DHB</v>
          </cell>
          <cell r="B373">
            <v>215.84130828501924</v>
          </cell>
          <cell r="C373">
            <v>187.83342009370119</v>
          </cell>
          <cell r="D373">
            <v>-28.007888191318045</v>
          </cell>
          <cell r="F373">
            <v>79.688291251815301</v>
          </cell>
          <cell r="G373">
            <v>80.365217391304341</v>
          </cell>
          <cell r="H373">
            <v>0.67692613948904068</v>
          </cell>
          <cell r="J373">
            <v>75.827751062694631</v>
          </cell>
          <cell r="K373">
            <v>62.954442649434569</v>
          </cell>
          <cell r="L373">
            <v>-12.873308413260062</v>
          </cell>
          <cell r="N373">
            <v>46.996280410449373</v>
          </cell>
          <cell r="O373">
            <v>54.269387755102038</v>
          </cell>
          <cell r="P373">
            <v>7.2731073446526651</v>
          </cell>
          <cell r="R373">
            <v>71.465152527276786</v>
          </cell>
          <cell r="S373">
            <v>63.015626731685686</v>
          </cell>
          <cell r="T373">
            <v>-8.4495257955911001</v>
          </cell>
          <cell r="V373">
            <v>90.646324361975985</v>
          </cell>
          <cell r="W373">
            <v>84.265080095969751</v>
          </cell>
          <cell r="X373">
            <v>-6.3812442660062345</v>
          </cell>
          <cell r="Z373">
            <v>69.283026352762278</v>
          </cell>
        </row>
        <row r="374">
          <cell r="A374" t="str">
            <v>Waikato DHB</v>
          </cell>
          <cell r="B374">
            <v>218.76769987079496</v>
          </cell>
          <cell r="C374">
            <v>215.19944979367261</v>
          </cell>
          <cell r="D374">
            <v>-3.5682500771223431</v>
          </cell>
          <cell r="F374">
            <v>80.370178203294785</v>
          </cell>
          <cell r="G374">
            <v>77.540013449899121</v>
          </cell>
          <cell r="H374">
            <v>-2.830164753395664</v>
          </cell>
          <cell r="J374">
            <v>70.518024649576276</v>
          </cell>
          <cell r="K374">
            <v>71.995249406175773</v>
          </cell>
          <cell r="L374">
            <v>1.4772247565994974</v>
          </cell>
          <cell r="N374">
            <v>46.911048904660191</v>
          </cell>
          <cell r="O374">
            <v>46.634238488783943</v>
          </cell>
          <cell r="P374">
            <v>-0.27681041587624833</v>
          </cell>
          <cell r="R374">
            <v>67.524499130683978</v>
          </cell>
          <cell r="S374">
            <v>67.146563315668757</v>
          </cell>
          <cell r="T374">
            <v>-0.37793581501522056</v>
          </cell>
          <cell r="V374">
            <v>91.936400233229293</v>
          </cell>
          <cell r="W374">
            <v>90.319101983169546</v>
          </cell>
          <cell r="X374">
            <v>-1.617298250059747</v>
          </cell>
          <cell r="Z374">
            <v>65.859946375000689</v>
          </cell>
        </row>
        <row r="375">
          <cell r="A375" t="str">
            <v>Midland Region Total</v>
          </cell>
          <cell r="B375">
            <v>219.02812180761455</v>
          </cell>
          <cell r="C375">
            <v>211.34683148417145</v>
          </cell>
          <cell r="D375">
            <v>-7.6812903234431076</v>
          </cell>
          <cell r="F375">
            <v>80.254144447139709</v>
          </cell>
          <cell r="G375">
            <v>79.174974404442352</v>
          </cell>
          <cell r="H375">
            <v>-1.0791700426973563</v>
          </cell>
          <cell r="J375">
            <v>71.58465741418253</v>
          </cell>
          <cell r="K375">
            <v>70.900692823707786</v>
          </cell>
          <cell r="L375">
            <v>-0.68396459047474423</v>
          </cell>
          <cell r="N375">
            <v>47.803357442624154</v>
          </cell>
          <cell r="O375">
            <v>48.302167085926115</v>
          </cell>
          <cell r="P375">
            <v>0.49880964330196065</v>
          </cell>
          <cell r="R375">
            <v>68.100695684563277</v>
          </cell>
          <cell r="S375">
            <v>66.762901885540899</v>
          </cell>
          <cell r="T375">
            <v>-1.3377937990223785</v>
          </cell>
          <cell r="V375">
            <v>91.936587788201351</v>
          </cell>
          <cell r="W375">
            <v>90.25321258915001</v>
          </cell>
          <cell r="X375">
            <v>-1.6833751990513406</v>
          </cell>
          <cell r="Z375">
            <v>66.952311485336608</v>
          </cell>
        </row>
        <row r="377">
          <cell r="A377" t="str">
            <v>Capital &amp; Coast DHB</v>
          </cell>
          <cell r="B377">
            <v>163.83499081823066</v>
          </cell>
          <cell r="C377">
            <v>167.42868674756397</v>
          </cell>
          <cell r="D377">
            <v>3.5936959293333075</v>
          </cell>
          <cell r="F377">
            <v>78.915349651655973</v>
          </cell>
          <cell r="G377">
            <v>78.847749333335443</v>
          </cell>
          <cell r="H377">
            <v>-6.7600318320529595E-2</v>
          </cell>
          <cell r="J377">
            <v>75.3174694609136</v>
          </cell>
          <cell r="K377">
            <v>75.794691432818112</v>
          </cell>
          <cell r="L377">
            <v>0.47722197190451254</v>
          </cell>
          <cell r="N377">
            <v>48.789841918708206</v>
          </cell>
          <cell r="O377">
            <v>47.44397896110025</v>
          </cell>
          <cell r="P377">
            <v>-1.3458629576079559</v>
          </cell>
          <cell r="R377">
            <v>66.996769850994824</v>
          </cell>
          <cell r="S377">
            <v>68.172805863433354</v>
          </cell>
          <cell r="T377">
            <v>1.1760360124385301</v>
          </cell>
          <cell r="V377">
            <v>90.573860078535375</v>
          </cell>
          <cell r="W377">
            <v>90.632645384692211</v>
          </cell>
          <cell r="X377">
            <v>5.8785306156835304E-2</v>
          </cell>
          <cell r="Z377">
            <v>68.706342310894485</v>
          </cell>
        </row>
        <row r="378">
          <cell r="A378" t="str">
            <v>Hawke's Bay DHB</v>
          </cell>
          <cell r="B378">
            <v>173.97118815005354</v>
          </cell>
          <cell r="C378">
            <v>178.81827468547579</v>
          </cell>
          <cell r="D378">
            <v>4.8470865354222497</v>
          </cell>
          <cell r="F378">
            <v>78.45001041441985</v>
          </cell>
          <cell r="G378">
            <v>79.518575631970236</v>
          </cell>
          <cell r="H378">
            <v>1.0685652175503861</v>
          </cell>
          <cell r="J378">
            <v>72.040729229848893</v>
          </cell>
          <cell r="K378">
            <v>72.243541546112112</v>
          </cell>
          <cell r="L378">
            <v>0.20281231626321983</v>
          </cell>
          <cell r="N378">
            <v>47.518256760728129</v>
          </cell>
          <cell r="O378">
            <v>49.948882522741066</v>
          </cell>
          <cell r="P378">
            <v>2.4306257620129372</v>
          </cell>
          <cell r="R378">
            <v>67.059387833014497</v>
          </cell>
          <cell r="S378">
            <v>68.289010305122531</v>
          </cell>
          <cell r="T378">
            <v>1.2296224721080335</v>
          </cell>
          <cell r="V378">
            <v>86.571273599900238</v>
          </cell>
          <cell r="W378">
            <v>87.453754744536809</v>
          </cell>
          <cell r="X378">
            <v>0.88248114463657146</v>
          </cell>
          <cell r="Z378">
            <v>66.296807503534694</v>
          </cell>
        </row>
        <row r="379">
          <cell r="A379" t="str">
            <v>Hutt Valley DHB</v>
          </cell>
          <cell r="B379">
            <v>195.85770234986944</v>
          </cell>
          <cell r="C379">
            <v>199.27075685548053</v>
          </cell>
          <cell r="D379">
            <v>3.4130545056110861</v>
          </cell>
          <cell r="F379">
            <v>79.674510666373436</v>
          </cell>
          <cell r="G379">
            <v>80.103838565908177</v>
          </cell>
          <cell r="H379">
            <v>0.42932789953474071</v>
          </cell>
          <cell r="J379">
            <v>71.701255230125525</v>
          </cell>
          <cell r="K379">
            <v>70.842715588297665</v>
          </cell>
          <cell r="L379">
            <v>-0.85853964182786058</v>
          </cell>
          <cell r="N379">
            <v>50.843100189035916</v>
          </cell>
          <cell r="O379">
            <v>49.747223903716453</v>
          </cell>
          <cell r="P379">
            <v>-1.0958762853194628</v>
          </cell>
          <cell r="R379">
            <v>65.917164937747998</v>
          </cell>
          <cell r="S379">
            <v>66.131511398856816</v>
          </cell>
          <cell r="T379">
            <v>0.21434646110881772</v>
          </cell>
          <cell r="V379">
            <v>89.671443614228409</v>
          </cell>
          <cell r="W379">
            <v>89.552372353573105</v>
          </cell>
          <cell r="X379">
            <v>-0.11907126065530349</v>
          </cell>
          <cell r="Z379">
            <v>66.288728067725742</v>
          </cell>
        </row>
        <row r="380">
          <cell r="A380" t="str">
            <v>MidCentral DHB</v>
          </cell>
          <cell r="B380">
            <v>197.96315283224288</v>
          </cell>
          <cell r="C380">
            <v>200.09983896940417</v>
          </cell>
          <cell r="D380">
            <v>2.1366861371612913</v>
          </cell>
          <cell r="F380">
            <v>79.853017517787549</v>
          </cell>
          <cell r="G380">
            <v>79.401945724526371</v>
          </cell>
          <cell r="H380">
            <v>-0.4510717932611783</v>
          </cell>
          <cell r="J380">
            <v>72.786893299272947</v>
          </cell>
          <cell r="K380">
            <v>72.278787878787881</v>
          </cell>
          <cell r="L380">
            <v>-0.50810542048506591</v>
          </cell>
          <cell r="N380">
            <v>45.914963769505036</v>
          </cell>
          <cell r="O380">
            <v>42.68181818181818</v>
          </cell>
          <cell r="P380">
            <v>-3.233145587686856</v>
          </cell>
          <cell r="R380">
            <v>60.095768914877247</v>
          </cell>
          <cell r="S380">
            <v>59.194307798007557</v>
          </cell>
          <cell r="T380">
            <v>-0.90146111686969022</v>
          </cell>
          <cell r="V380">
            <v>90.305047694382651</v>
          </cell>
          <cell r="W380">
            <v>89.775249027819328</v>
          </cell>
          <cell r="X380">
            <v>-0.5297986665633232</v>
          </cell>
          <cell r="Z380">
            <v>64.964694070262325</v>
          </cell>
        </row>
        <row r="381">
          <cell r="A381" t="str">
            <v>Wairarapa DHB</v>
          </cell>
          <cell r="B381">
            <v>254.55784581831048</v>
          </cell>
          <cell r="C381">
            <v>223.82968205058759</v>
          </cell>
          <cell r="D381">
            <v>-30.72816376772289</v>
          </cell>
          <cell r="F381">
            <v>82.550731503436623</v>
          </cell>
          <cell r="G381">
            <v>79.892840838470434</v>
          </cell>
          <cell r="H381">
            <v>-2.6578906649661889</v>
          </cell>
          <cell r="J381">
            <v>75.321176224984427</v>
          </cell>
          <cell r="K381">
            <v>73.092264511285194</v>
          </cell>
          <cell r="L381">
            <v>-2.2289117136992331</v>
          </cell>
          <cell r="N381">
            <v>57.011419092643258</v>
          </cell>
          <cell r="O381">
            <v>44.077538880809207</v>
          </cell>
          <cell r="P381">
            <v>-12.933880211834051</v>
          </cell>
          <cell r="R381">
            <v>63.709850105914136</v>
          </cell>
          <cell r="S381">
            <v>64.280977642000281</v>
          </cell>
          <cell r="T381">
            <v>0.57112753608614497</v>
          </cell>
          <cell r="V381">
            <v>93.074232930907144</v>
          </cell>
          <cell r="W381">
            <v>88.510993871066873</v>
          </cell>
          <cell r="X381">
            <v>-4.5632390598402708</v>
          </cell>
          <cell r="Z381">
            <v>67.685809102986809</v>
          </cell>
        </row>
        <row r="382">
          <cell r="A382" t="str">
            <v>Whanganui DHB</v>
          </cell>
          <cell r="B382">
            <v>221.68402267827554</v>
          </cell>
          <cell r="C382">
            <v>221.66065612420431</v>
          </cell>
          <cell r="D382">
            <v>-2.3366554071230894E-2</v>
          </cell>
          <cell r="F382">
            <v>78.613749979111191</v>
          </cell>
          <cell r="G382">
            <v>79.673470792892005</v>
          </cell>
          <cell r="H382">
            <v>1.0597208137808138</v>
          </cell>
          <cell r="J382">
            <v>72.872101683911595</v>
          </cell>
          <cell r="K382">
            <v>71.13713355610895</v>
          </cell>
          <cell r="L382">
            <v>-1.7349681278026452</v>
          </cell>
          <cell r="N382">
            <v>47.28324727492209</v>
          </cell>
          <cell r="O382">
            <v>47.434695790374512</v>
          </cell>
          <cell r="P382">
            <v>0.15144851545242233</v>
          </cell>
          <cell r="R382">
            <v>64.517298385827402</v>
          </cell>
          <cell r="S382">
            <v>65.071211767452709</v>
          </cell>
          <cell r="T382">
            <v>0.55391338162530701</v>
          </cell>
          <cell r="V382">
            <v>90.351979634392094</v>
          </cell>
          <cell r="W382">
            <v>90.843484752023357</v>
          </cell>
          <cell r="X382">
            <v>0.49150511763126303</v>
          </cell>
          <cell r="Z382">
            <v>67.103517557593804</v>
          </cell>
        </row>
        <row r="383">
          <cell r="A383" t="str">
            <v>Central Region Total</v>
          </cell>
          <cell r="B383">
            <v>180.52025803572261</v>
          </cell>
          <cell r="C383">
            <v>183.50758135018108</v>
          </cell>
          <cell r="D383">
            <v>2.9873233144584788</v>
          </cell>
          <cell r="F383">
            <v>79.238905941152609</v>
          </cell>
          <cell r="G383">
            <v>79.339370992009009</v>
          </cell>
          <cell r="H383">
            <v>0.10046505085639978</v>
          </cell>
          <cell r="J383">
            <v>73.370481140808636</v>
          </cell>
          <cell r="K383">
            <v>73.104487996443737</v>
          </cell>
          <cell r="L383">
            <v>-0.26599314436489863</v>
          </cell>
          <cell r="N383">
            <v>48.905821686486171</v>
          </cell>
          <cell r="O383">
            <v>48.177968150830452</v>
          </cell>
          <cell r="P383">
            <v>-0.72785353565571853</v>
          </cell>
          <cell r="R383">
            <v>65.093077564762751</v>
          </cell>
          <cell r="S383">
            <v>65.651798524178218</v>
          </cell>
          <cell r="T383">
            <v>0.55872095941546718</v>
          </cell>
          <cell r="V383">
            <v>89.760818423738399</v>
          </cell>
          <cell r="W383">
            <v>89.687159494329165</v>
          </cell>
          <cell r="X383">
            <v>-7.365892940923402E-2</v>
          </cell>
          <cell r="Z383">
            <v>66.989230599260011</v>
          </cell>
        </row>
        <row r="385">
          <cell r="A385" t="str">
            <v>Canterbury DHB</v>
          </cell>
          <cell r="B385">
            <v>200.97766238259092</v>
          </cell>
          <cell r="C385">
            <v>198.93622357577928</v>
          </cell>
          <cell r="D385">
            <v>-2.0414388068116409</v>
          </cell>
          <cell r="F385">
            <v>73.977908604391843</v>
          </cell>
          <cell r="G385">
            <v>75.051387743885684</v>
          </cell>
          <cell r="H385">
            <v>1.0734791394938412</v>
          </cell>
          <cell r="J385">
            <v>71.887044906559481</v>
          </cell>
          <cell r="K385">
            <v>70.808583106267037</v>
          </cell>
          <cell r="L385">
            <v>-1.0784618002924447</v>
          </cell>
          <cell r="N385">
            <v>54.847504315915572</v>
          </cell>
          <cell r="O385">
            <v>48.701334560515413</v>
          </cell>
          <cell r="P385">
            <v>-6.1461697554001589</v>
          </cell>
          <cell r="R385">
            <v>68.180912633980086</v>
          </cell>
          <cell r="S385">
            <v>66.488829963539942</v>
          </cell>
          <cell r="T385">
            <v>-1.6920826704401435</v>
          </cell>
          <cell r="V385">
            <v>87.25632141476477</v>
          </cell>
          <cell r="W385">
            <v>86.638644303921467</v>
          </cell>
          <cell r="X385">
            <v>-0.61767711084330301</v>
          </cell>
          <cell r="Z385">
            <v>68.442116924100702</v>
          </cell>
        </row>
        <row r="386">
          <cell r="A386" t="str">
            <v>Nelson Marlborough DHB</v>
          </cell>
          <cell r="B386">
            <v>244.87383352953694</v>
          </cell>
          <cell r="C386">
            <v>254.27176724324326</v>
          </cell>
          <cell r="D386">
            <v>9.3979337137063226</v>
          </cell>
          <cell r="F386">
            <v>83.700027766709383</v>
          </cell>
          <cell r="G386">
            <v>85.904637829457343</v>
          </cell>
          <cell r="H386">
            <v>2.2046100627479603</v>
          </cell>
          <cell r="J386">
            <v>66.126229733826122</v>
          </cell>
          <cell r="K386">
            <v>66.920031816578458</v>
          </cell>
          <cell r="L386">
            <v>0.79380208275233599</v>
          </cell>
          <cell r="N386">
            <v>50.818336444268837</v>
          </cell>
          <cell r="O386">
            <v>49.940443725490219</v>
          </cell>
          <cell r="P386">
            <v>-0.87789271877861808</v>
          </cell>
          <cell r="R386">
            <v>65.155541100560967</v>
          </cell>
          <cell r="S386">
            <v>68.460663423423441</v>
          </cell>
          <cell r="T386">
            <v>3.3051223228624735</v>
          </cell>
          <cell r="V386">
            <v>89.291986093548772</v>
          </cell>
          <cell r="W386">
            <v>91.857943537117904</v>
          </cell>
          <cell r="X386">
            <v>2.5659574435691326</v>
          </cell>
          <cell r="Z386">
            <v>64.255452622187491</v>
          </cell>
        </row>
        <row r="387">
          <cell r="A387" t="str">
            <v>South Canterbury DHB</v>
          </cell>
          <cell r="B387">
            <v>253.25342465753425</v>
          </cell>
          <cell r="C387">
            <v>264.2238805970149</v>
          </cell>
          <cell r="D387">
            <v>10.970455939480644</v>
          </cell>
          <cell r="F387">
            <v>77.750924190063174</v>
          </cell>
          <cell r="G387">
            <v>84.868501529051983</v>
          </cell>
          <cell r="H387">
            <v>7.1175773389888093</v>
          </cell>
          <cell r="J387">
            <v>75.370424884702203</v>
          </cell>
          <cell r="K387">
            <v>62.035398230088497</v>
          </cell>
          <cell r="L387">
            <v>-13.335026654613706</v>
          </cell>
          <cell r="N387">
            <v>45.978287486735766</v>
          </cell>
          <cell r="O387">
            <v>48.196078431372548</v>
          </cell>
          <cell r="P387">
            <v>2.2177909446367821</v>
          </cell>
          <cell r="R387">
            <v>71.510466369621781</v>
          </cell>
          <cell r="S387">
            <v>66.032520325203251</v>
          </cell>
          <cell r="T387">
            <v>-5.4779460444185304</v>
          </cell>
          <cell r="V387">
            <v>90.179496094903755</v>
          </cell>
          <cell r="W387">
            <v>92.57709251101322</v>
          </cell>
          <cell r="X387">
            <v>2.3975964161094652</v>
          </cell>
          <cell r="Z387">
            <v>68.193582094992777</v>
          </cell>
        </row>
        <row r="388">
          <cell r="A388" t="str">
            <v>Southern DHB</v>
          </cell>
          <cell r="B388">
            <v>228.25688766301633</v>
          </cell>
          <cell r="C388">
            <v>223.65056345203934</v>
          </cell>
          <cell r="D388">
            <v>-4.6063242109769931</v>
          </cell>
          <cell r="F388">
            <v>81.694150786691736</v>
          </cell>
          <cell r="G388">
            <v>81.462735146310351</v>
          </cell>
          <cell r="H388">
            <v>-0.2314156403813854</v>
          </cell>
          <cell r="J388">
            <v>76.354495151856881</v>
          </cell>
          <cell r="K388">
            <v>73.926183610370941</v>
          </cell>
          <cell r="L388">
            <v>-2.4283115414859395</v>
          </cell>
          <cell r="N388">
            <v>53.303193410477853</v>
          </cell>
          <cell r="O388">
            <v>52.694127867177535</v>
          </cell>
          <cell r="P388">
            <v>-0.60906554330031781</v>
          </cell>
          <cell r="R388">
            <v>68.568446116050382</v>
          </cell>
          <cell r="S388">
            <v>52.830577499768886</v>
          </cell>
          <cell r="T388">
            <v>-15.737868616281496</v>
          </cell>
          <cell r="V388">
            <v>98.49116057454421</v>
          </cell>
          <cell r="W388">
            <v>93.799420792050725</v>
          </cell>
          <cell r="X388">
            <v>-4.6917397824934852</v>
          </cell>
          <cell r="Z388">
            <v>70.745228432502358</v>
          </cell>
        </row>
        <row r="389">
          <cell r="A389" t="str">
            <v>West Coast DHB</v>
          </cell>
          <cell r="B389">
            <v>285.85332242366826</v>
          </cell>
          <cell r="C389">
            <v>275.85542168674698</v>
          </cell>
          <cell r="D389">
            <v>-9.9979007369212809</v>
          </cell>
          <cell r="F389">
            <v>84.589389263662369</v>
          </cell>
          <cell r="G389">
            <v>85.963414634146346</v>
          </cell>
          <cell r="H389">
            <v>1.3740253704839773</v>
          </cell>
          <cell r="J389">
            <v>60.151519418706179</v>
          </cell>
          <cell r="K389">
            <v>65.35787321063394</v>
          </cell>
          <cell r="L389">
            <v>5.2063537919277607</v>
          </cell>
          <cell r="N389">
            <v>56.573033707865164</v>
          </cell>
          <cell r="O389">
            <v>48.545454545454547</v>
          </cell>
          <cell r="P389">
            <v>-8.0275791624106176</v>
          </cell>
          <cell r="R389">
            <v>55.70022860550641</v>
          </cell>
          <cell r="S389">
            <v>58.576271186440678</v>
          </cell>
          <cell r="T389">
            <v>2.8760425809342678</v>
          </cell>
          <cell r="V389">
            <v>83.592875690304624</v>
          </cell>
          <cell r="W389">
            <v>87.186833282535815</v>
          </cell>
          <cell r="X389">
            <v>3.5939575922311917</v>
          </cell>
          <cell r="Z389">
            <v>58.209733803595483</v>
          </cell>
        </row>
        <row r="390">
          <cell r="A390" t="str">
            <v>Southern Region Total</v>
          </cell>
          <cell r="B390">
            <v>217.51158255084079</v>
          </cell>
          <cell r="C390">
            <v>216.56239087171323</v>
          </cell>
          <cell r="D390">
            <v>-0.94919167912755142</v>
          </cell>
          <cell r="F390">
            <v>77.555337824964823</v>
          </cell>
          <cell r="G390">
            <v>78.743888389524045</v>
          </cell>
          <cell r="H390">
            <v>1.1885505645592218</v>
          </cell>
          <cell r="J390">
            <v>71.187165164047741</v>
          </cell>
          <cell r="K390">
            <v>70.153397558576088</v>
          </cell>
          <cell r="L390">
            <v>-1.0337676054716525</v>
          </cell>
          <cell r="N390">
            <v>53.265316378447906</v>
          </cell>
          <cell r="O390">
            <v>49.900353550881192</v>
          </cell>
          <cell r="P390">
            <v>-3.3649628275667141</v>
          </cell>
          <cell r="R390">
            <v>67.391742763281556</v>
          </cell>
          <cell r="S390">
            <v>62.675383352422507</v>
          </cell>
          <cell r="T390">
            <v>-4.7163594108590488</v>
          </cell>
          <cell r="V390">
            <v>90.25454019755081</v>
          </cell>
          <cell r="W390">
            <v>89.423830676095278</v>
          </cell>
          <cell r="X390">
            <v>-0.83070952145553179</v>
          </cell>
          <cell r="Z390">
            <v>67.736957669270794</v>
          </cell>
        </row>
        <row r="391">
          <cell r="A391" t="str">
            <v>TOTAL</v>
          </cell>
          <cell r="B391">
            <v>199.99716129426733</v>
          </cell>
          <cell r="C391">
            <v>195.28128011309974</v>
          </cell>
          <cell r="D391">
            <v>-4.7158811811675889</v>
          </cell>
          <cell r="F391">
            <v>79.578296521529396</v>
          </cell>
          <cell r="G391">
            <v>79.179507355405207</v>
          </cell>
          <cell r="H391">
            <v>-0.39878916612418891</v>
          </cell>
          <cell r="J391">
            <v>72.948145819146561</v>
          </cell>
          <cell r="K391">
            <v>72.031013939367469</v>
          </cell>
          <cell r="L391">
            <v>-0.91713187977909172</v>
          </cell>
          <cell r="N391">
            <v>50.113944569566421</v>
          </cell>
          <cell r="O391">
            <v>48.557134586816993</v>
          </cell>
          <cell r="P391">
            <v>-1.5568099827494279</v>
          </cell>
          <cell r="R391">
            <v>70.528704622405499</v>
          </cell>
          <cell r="S391">
            <v>68.818077170301294</v>
          </cell>
          <cell r="T391">
            <v>-1.7106274521042053</v>
          </cell>
          <cell r="V391">
            <v>92.563427884112741</v>
          </cell>
          <cell r="W391">
            <v>91.177744972177237</v>
          </cell>
          <cell r="X391">
            <v>-1.3856829119355041</v>
          </cell>
          <cell r="Z391">
            <v>69.20189370393993</v>
          </cell>
        </row>
        <row r="407">
          <cell r="A407" t="str">
            <v>Auckland DHB</v>
          </cell>
          <cell r="B407">
            <v>203.95012744401808</v>
          </cell>
          <cell r="C407">
            <v>200.78286891324768</v>
          </cell>
          <cell r="D407">
            <v>-3.1672585307703969</v>
          </cell>
          <cell r="F407">
            <v>85.438764814176253</v>
          </cell>
          <cell r="G407">
            <v>86.365978151398309</v>
          </cell>
          <cell r="H407">
            <v>0.92721333722205657</v>
          </cell>
          <cell r="J407">
            <v>79.214369198756941</v>
          </cell>
          <cell r="K407">
            <v>78.592853008542448</v>
          </cell>
          <cell r="L407">
            <v>-0.62151619021449278</v>
          </cell>
          <cell r="N407">
            <v>50.08436831393832</v>
          </cell>
          <cell r="O407">
            <v>47.617566856432077</v>
          </cell>
          <cell r="P407">
            <v>-2.4668014575062429</v>
          </cell>
          <cell r="R407">
            <v>77.010042730138593</v>
          </cell>
          <cell r="S407">
            <v>75.452463713052012</v>
          </cell>
          <cell r="T407">
            <v>-1.5575790170865815</v>
          </cell>
          <cell r="V407">
            <v>104.62953588238433</v>
          </cell>
          <cell r="W407">
            <v>103.10525660482342</v>
          </cell>
          <cell r="X407">
            <v>-1.5242792775609075</v>
          </cell>
          <cell r="Z407">
            <v>75.196536351025387</v>
          </cell>
        </row>
        <row r="408">
          <cell r="A408" t="str">
            <v>Counties Manukau DHB</v>
          </cell>
          <cell r="B408">
            <v>189.95503915130084</v>
          </cell>
          <cell r="C408">
            <v>170.80943664062292</v>
          </cell>
          <cell r="D408">
            <v>-19.145602510677918</v>
          </cell>
          <cell r="F408">
            <v>79.851094539331243</v>
          </cell>
          <cell r="G408">
            <v>82.09053536611151</v>
          </cell>
          <cell r="H408">
            <v>2.2394408267802675</v>
          </cell>
          <cell r="J408">
            <v>72.06915377616015</v>
          </cell>
          <cell r="K408">
            <v>72.226118450720435</v>
          </cell>
          <cell r="L408">
            <v>0.15696467456028529</v>
          </cell>
          <cell r="N408">
            <v>54.003002502085074</v>
          </cell>
          <cell r="O408">
            <v>52.5466111866848</v>
          </cell>
          <cell r="P408">
            <v>-1.4563913154002748</v>
          </cell>
          <cell r="R408">
            <v>85.37663058562309</v>
          </cell>
          <cell r="S408">
            <v>84.861927430369136</v>
          </cell>
          <cell r="T408">
            <v>-0.51470315525395449</v>
          </cell>
          <cell r="V408">
            <v>94.624372712146425</v>
          </cell>
          <cell r="W408">
            <v>93.641675828428831</v>
          </cell>
          <cell r="X408">
            <v>-0.98269688371759401</v>
          </cell>
          <cell r="Z408">
            <v>73.25393438250201</v>
          </cell>
        </row>
        <row r="409">
          <cell r="A409" t="str">
            <v>Northland DHB</v>
          </cell>
          <cell r="B409">
            <v>212.28318255133738</v>
          </cell>
          <cell r="C409">
            <v>199.55171899889334</v>
          </cell>
          <cell r="D409">
            <v>-12.73146355244404</v>
          </cell>
          <cell r="F409">
            <v>79.790329321725608</v>
          </cell>
          <cell r="G409">
            <v>81.610136056894859</v>
          </cell>
          <cell r="H409">
            <v>1.8198067351692515</v>
          </cell>
          <cell r="J409">
            <v>73.34119097897279</v>
          </cell>
          <cell r="K409">
            <v>69.837363997437507</v>
          </cell>
          <cell r="L409">
            <v>-3.5038269815352834</v>
          </cell>
          <cell r="N409">
            <v>49.446049690326895</v>
          </cell>
          <cell r="O409">
            <v>47.950636332800322</v>
          </cell>
          <cell r="P409">
            <v>-1.4954133575265729</v>
          </cell>
          <cell r="R409">
            <v>74.706651382275183</v>
          </cell>
          <cell r="S409">
            <v>72.479214316082405</v>
          </cell>
          <cell r="T409">
            <v>-2.2274370661927776</v>
          </cell>
          <cell r="V409">
            <v>92.66541347527432</v>
          </cell>
          <cell r="W409">
            <v>91.36302325048095</v>
          </cell>
          <cell r="X409">
            <v>-1.3023902247933705</v>
          </cell>
          <cell r="Z409">
            <v>71.531818092277589</v>
          </cell>
        </row>
        <row r="410">
          <cell r="A410" t="str">
            <v>Waitemata DHB</v>
          </cell>
          <cell r="B410">
            <v>186.24084554227892</v>
          </cell>
          <cell r="C410">
            <v>177.99954501659346</v>
          </cell>
          <cell r="D410">
            <v>-8.2413005256854603</v>
          </cell>
          <cell r="F410">
            <v>80.564753678551085</v>
          </cell>
          <cell r="G410">
            <v>78.427044136225945</v>
          </cell>
          <cell r="H410">
            <v>-2.1377095423251404</v>
          </cell>
          <cell r="J410">
            <v>71.498332247620823</v>
          </cell>
          <cell r="K410">
            <v>67.537470580948835</v>
          </cell>
          <cell r="L410">
            <v>-3.9608616666719882</v>
          </cell>
          <cell r="N410">
            <v>49.134261539963362</v>
          </cell>
          <cell r="O410">
            <v>45.715130751977917</v>
          </cell>
          <cell r="P410">
            <v>-3.4191307879854449</v>
          </cell>
          <cell r="R410">
            <v>78.42788585920789</v>
          </cell>
          <cell r="S410">
            <v>85.84345794392523</v>
          </cell>
          <cell r="T410">
            <v>7.4155720847173399</v>
          </cell>
          <cell r="V410">
            <v>91.195440892284225</v>
          </cell>
          <cell r="W410">
            <v>89.385365596061362</v>
          </cell>
          <cell r="X410">
            <v>-1.8100752962228626</v>
          </cell>
          <cell r="Z410">
            <v>70.833474043805694</v>
          </cell>
        </row>
        <row r="411">
          <cell r="A411" t="str">
            <v>Northern Region Total</v>
          </cell>
          <cell r="B411">
            <v>196.84979833018275</v>
          </cell>
          <cell r="C411">
            <v>186.99048029633866</v>
          </cell>
          <cell r="D411">
            <v>-9.8593180338440902</v>
          </cell>
          <cell r="F411">
            <v>81.985336332418726</v>
          </cell>
          <cell r="G411">
            <v>82.416274869189422</v>
          </cell>
          <cell r="H411">
            <v>0.4309385367706966</v>
          </cell>
          <cell r="J411">
            <v>74.663423097858384</v>
          </cell>
          <cell r="K411">
            <v>72.793790795356784</v>
          </cell>
          <cell r="L411">
            <v>-1.8696323025016</v>
          </cell>
          <cell r="N411">
            <v>51.230304997160665</v>
          </cell>
          <cell r="O411">
            <v>48.827516748373171</v>
          </cell>
          <cell r="P411">
            <v>-2.4027882487874948</v>
          </cell>
          <cell r="R411">
            <v>79.302572079824643</v>
          </cell>
          <cell r="S411">
            <v>80.194880041220429</v>
          </cell>
          <cell r="T411">
            <v>0.89230796139578672</v>
          </cell>
          <cell r="V411">
            <v>97.132125669031367</v>
          </cell>
          <cell r="W411">
            <v>95.595170183556604</v>
          </cell>
          <cell r="X411">
            <v>-1.5369554854747633</v>
          </cell>
          <cell r="Z411">
            <v>73.067121118569588</v>
          </cell>
        </row>
        <row r="413">
          <cell r="A413" t="str">
            <v>Bay of Plenty DHB</v>
          </cell>
          <cell r="B413">
            <v>212.65609607761994</v>
          </cell>
          <cell r="C413">
            <v>208.66666666666666</v>
          </cell>
          <cell r="D413">
            <v>-3.989429410953278</v>
          </cell>
          <cell r="F413">
            <v>79.316055639511788</v>
          </cell>
          <cell r="G413">
            <v>83.106115107913666</v>
          </cell>
          <cell r="H413">
            <v>3.7900594684018785</v>
          </cell>
          <cell r="J413">
            <v>72.326464155504055</v>
          </cell>
          <cell r="K413">
            <v>73.935817805383024</v>
          </cell>
          <cell r="L413">
            <v>1.6093536498789689</v>
          </cell>
          <cell r="N413">
            <v>51.568406256782758</v>
          </cell>
          <cell r="O413">
            <v>50.88695652173913</v>
          </cell>
          <cell r="P413">
            <v>-0.68144973504362838</v>
          </cell>
          <cell r="R413">
            <v>69.447374071528571</v>
          </cell>
          <cell r="S413">
            <v>69.813903743315507</v>
          </cell>
          <cell r="T413">
            <v>0.3665296717869353</v>
          </cell>
          <cell r="V413">
            <v>91.908876697425299</v>
          </cell>
          <cell r="W413">
            <v>94.318696602423998</v>
          </cell>
          <cell r="X413">
            <v>2.4098199049986988</v>
          </cell>
          <cell r="Z413">
            <v>68.873894184103264</v>
          </cell>
        </row>
        <row r="414">
          <cell r="A414" t="str">
            <v>Lakes DHB</v>
          </cell>
          <cell r="B414">
            <v>203.7285067873303</v>
          </cell>
          <cell r="C414">
            <v>206.56684191563002</v>
          </cell>
          <cell r="D414">
            <v>2.8383351282997182</v>
          </cell>
          <cell r="F414">
            <v>80.705919198246164</v>
          </cell>
          <cell r="G414">
            <v>82.116448116915009</v>
          </cell>
          <cell r="H414">
            <v>1.4105289186688452</v>
          </cell>
          <cell r="J414">
            <v>74.748854643898369</v>
          </cell>
          <cell r="K414">
            <v>76.17998119397916</v>
          </cell>
          <cell r="L414">
            <v>1.4311265500807906</v>
          </cell>
          <cell r="N414">
            <v>49.74742268041237</v>
          </cell>
          <cell r="O414">
            <v>49.141965678627137</v>
          </cell>
          <cell r="P414">
            <v>-0.60545700178523276</v>
          </cell>
          <cell r="R414">
            <v>68.293297942932981</v>
          </cell>
          <cell r="S414">
            <v>68.724336851844214</v>
          </cell>
          <cell r="T414">
            <v>0.43103890891123342</v>
          </cell>
          <cell r="V414">
            <v>92.30509405464781</v>
          </cell>
          <cell r="W414">
            <v>94.435867725216511</v>
          </cell>
          <cell r="X414">
            <v>2.1307736705687006</v>
          </cell>
          <cell r="Z414">
            <v>68.472298497819423</v>
          </cell>
        </row>
        <row r="415">
          <cell r="A415" t="str">
            <v>Tairawhiti DHB</v>
          </cell>
          <cell r="B415">
            <v>291.3611442193087</v>
          </cell>
          <cell r="C415">
            <v>287.22088571428571</v>
          </cell>
          <cell r="D415">
            <v>-4.1402585050229845</v>
          </cell>
          <cell r="F415">
            <v>84.425974025974028</v>
          </cell>
          <cell r="G415">
            <v>82.697114695340503</v>
          </cell>
          <cell r="H415">
            <v>-1.7288593306335258</v>
          </cell>
          <cell r="J415">
            <v>71.279356568364619</v>
          </cell>
          <cell r="K415">
            <v>72.91091999999999</v>
          </cell>
          <cell r="L415">
            <v>1.6315634316353709</v>
          </cell>
          <cell r="N415">
            <v>70.028169014084511</v>
          </cell>
          <cell r="O415">
            <v>51.895888888888891</v>
          </cell>
          <cell r="P415">
            <v>-18.132280125195621</v>
          </cell>
          <cell r="R415">
            <v>64.916400765794506</v>
          </cell>
          <cell r="S415">
            <v>64.831247255160307</v>
          </cell>
          <cell r="T415">
            <v>-8.5153510634199847E-2</v>
          </cell>
          <cell r="V415">
            <v>98.951314630771165</v>
          </cell>
          <cell r="W415">
            <v>97.772353967136866</v>
          </cell>
          <cell r="X415">
            <v>-1.1789606636342995</v>
          </cell>
          <cell r="Z415">
            <v>68.470781893004116</v>
          </cell>
        </row>
        <row r="416">
          <cell r="A416" t="str">
            <v>Taranaki DHB</v>
          </cell>
          <cell r="B416">
            <v>223.45726252650087</v>
          </cell>
          <cell r="C416">
            <v>221.86998030004543</v>
          </cell>
          <cell r="D416">
            <v>-1.5872822264554429</v>
          </cell>
          <cell r="F416">
            <v>80.598346035349437</v>
          </cell>
          <cell r="G416">
            <v>78.818644067796612</v>
          </cell>
          <cell r="H416">
            <v>-1.7797019675528247</v>
          </cell>
          <cell r="J416">
            <v>75.404559623118743</v>
          </cell>
          <cell r="K416">
            <v>77.199039060414634</v>
          </cell>
          <cell r="L416">
            <v>1.794479437295891</v>
          </cell>
          <cell r="N416">
            <v>47.451191236264663</v>
          </cell>
          <cell r="O416">
            <v>41.925531914893618</v>
          </cell>
          <cell r="P416">
            <v>-5.5256593213710445</v>
          </cell>
          <cell r="R416">
            <v>70.598263834524985</v>
          </cell>
          <cell r="S416">
            <v>75.847837178978409</v>
          </cell>
          <cell r="T416">
            <v>5.2495733444534238</v>
          </cell>
          <cell r="V416">
            <v>91.365561062898479</v>
          </cell>
          <cell r="W416">
            <v>92.02397115969849</v>
          </cell>
          <cell r="X416">
            <v>0.6584100968000115</v>
          </cell>
          <cell r="Z416">
            <v>69.085594555574289</v>
          </cell>
        </row>
        <row r="417">
          <cell r="A417" t="str">
            <v>Waikato DHB</v>
          </cell>
          <cell r="B417">
            <v>210.71415638880052</v>
          </cell>
          <cell r="C417">
            <v>220.30546445021972</v>
          </cell>
          <cell r="D417">
            <v>9.5913080614191983</v>
          </cell>
          <cell r="F417">
            <v>80.265707844575246</v>
          </cell>
          <cell r="G417">
            <v>80.47576107587949</v>
          </cell>
          <cell r="H417">
            <v>0.21005323130424358</v>
          </cell>
          <cell r="J417">
            <v>70.003254068890158</v>
          </cell>
          <cell r="K417">
            <v>70.429575581564805</v>
          </cell>
          <cell r="L417">
            <v>0.42632151267464735</v>
          </cell>
          <cell r="N417">
            <v>47.498515263927814</v>
          </cell>
          <cell r="O417">
            <v>48.121762825778205</v>
          </cell>
          <cell r="P417">
            <v>0.62324756185039121</v>
          </cell>
          <cell r="R417">
            <v>69.906830893026466</v>
          </cell>
          <cell r="S417">
            <v>68.849003631255414</v>
          </cell>
          <cell r="T417">
            <v>-1.0578272617710525</v>
          </cell>
          <cell r="V417">
            <v>91.605810179833</v>
          </cell>
          <cell r="W417">
            <v>92.652973498226288</v>
          </cell>
          <cell r="X417">
            <v>1.047163318393288</v>
          </cell>
          <cell r="Z417">
            <v>66.83355268179632</v>
          </cell>
        </row>
        <row r="418">
          <cell r="A418" t="str">
            <v>Midland Region Total</v>
          </cell>
          <cell r="B418">
            <v>215.50626011390705</v>
          </cell>
          <cell r="C418">
            <v>219.36039817843519</v>
          </cell>
          <cell r="D418">
            <v>3.8541380645281436</v>
          </cell>
          <cell r="F418">
            <v>80.363750854671125</v>
          </cell>
          <cell r="G418">
            <v>81.157940553677193</v>
          </cell>
          <cell r="H418">
            <v>0.79418969900606839</v>
          </cell>
          <cell r="J418">
            <v>71.716796238972663</v>
          </cell>
          <cell r="K418">
            <v>72.792908115217173</v>
          </cell>
          <cell r="L418">
            <v>1.0761118762445108</v>
          </cell>
          <cell r="N418">
            <v>49.062434061606723</v>
          </cell>
          <cell r="O418">
            <v>47.916866151866436</v>
          </cell>
          <cell r="P418">
            <v>-1.1455679097402864</v>
          </cell>
          <cell r="R418">
            <v>69.424354865096163</v>
          </cell>
          <cell r="S418">
            <v>69.69807699348506</v>
          </cell>
          <cell r="T418">
            <v>0.27372212838889709</v>
          </cell>
          <cell r="V418">
            <v>92.12832302578245</v>
          </cell>
          <cell r="W418">
            <v>93.4138472930955</v>
          </cell>
          <cell r="X418">
            <v>1.2855242673130505</v>
          </cell>
          <cell r="Z418">
            <v>67.830466802042068</v>
          </cell>
        </row>
        <row r="420">
          <cell r="A420" t="str">
            <v>Capital &amp; Coast DHB</v>
          </cell>
          <cell r="B420">
            <v>169.45240595787783</v>
          </cell>
          <cell r="C420">
            <v>167.93090704117247</v>
          </cell>
          <cell r="D420">
            <v>-1.5214989167053545</v>
          </cell>
          <cell r="F420">
            <v>81.086307065680131</v>
          </cell>
          <cell r="G420">
            <v>80.723982617414777</v>
          </cell>
          <cell r="H420">
            <v>-0.3623244482653547</v>
          </cell>
          <cell r="J420">
            <v>76.807126663070221</v>
          </cell>
          <cell r="K420">
            <v>76.885450690264037</v>
          </cell>
          <cell r="L420">
            <v>7.8324027193815482E-2</v>
          </cell>
          <cell r="N420">
            <v>52.744334736901095</v>
          </cell>
          <cell r="O420">
            <v>49.815706684358588</v>
          </cell>
          <cell r="P420">
            <v>-2.928628052542507</v>
          </cell>
          <cell r="R420">
            <v>70.831552375950423</v>
          </cell>
          <cell r="S420">
            <v>67.112626206246802</v>
          </cell>
          <cell r="T420">
            <v>-3.7189261697036216</v>
          </cell>
          <cell r="V420">
            <v>93.915354050714598</v>
          </cell>
          <cell r="W420">
            <v>92.351901706982332</v>
          </cell>
          <cell r="X420">
            <v>-1.5634523437322656</v>
          </cell>
          <cell r="Z420">
            <v>71.823892133411746</v>
          </cell>
        </row>
        <row r="421">
          <cell r="A421" t="str">
            <v>Hawke's Bay DHB</v>
          </cell>
          <cell r="B421">
            <v>169.21621874488781</v>
          </cell>
          <cell r="C421">
            <v>179.93037546203996</v>
          </cell>
          <cell r="D421">
            <v>10.71415671715215</v>
          </cell>
          <cell r="F421">
            <v>80.423671016409017</v>
          </cell>
          <cell r="G421">
            <v>81.703533018135886</v>
          </cell>
          <cell r="H421">
            <v>1.2798620017268689</v>
          </cell>
          <cell r="J421">
            <v>72.252910950003411</v>
          </cell>
          <cell r="K421">
            <v>71.932687583449436</v>
          </cell>
          <cell r="L421">
            <v>-0.3202233665539751</v>
          </cell>
          <cell r="N421">
            <v>50.21272825708111</v>
          </cell>
          <cell r="O421">
            <v>52.370340681362734</v>
          </cell>
          <cell r="P421">
            <v>2.1576124242816235</v>
          </cell>
          <cell r="R421">
            <v>70.456415944497806</v>
          </cell>
          <cell r="S421">
            <v>69.42932591629625</v>
          </cell>
          <cell r="T421">
            <v>-1.027090028201556</v>
          </cell>
          <cell r="V421">
            <v>87.715457765510166</v>
          </cell>
          <cell r="W421">
            <v>89.323806915999711</v>
          </cell>
          <cell r="X421">
            <v>1.6083491504895449</v>
          </cell>
          <cell r="Z421">
            <v>68.309565165635377</v>
          </cell>
        </row>
        <row r="422">
          <cell r="A422" t="str">
            <v>Hutt Valley DHB</v>
          </cell>
          <cell r="B422">
            <v>200.06544502617803</v>
          </cell>
          <cell r="C422">
            <v>196.77227601687858</v>
          </cell>
          <cell r="D422">
            <v>-3.2931690092994472</v>
          </cell>
          <cell r="F422">
            <v>82.286671131949092</v>
          </cell>
          <cell r="G422">
            <v>81.4712714740986</v>
          </cell>
          <cell r="H422">
            <v>-0.81539965785049162</v>
          </cell>
          <cell r="J422">
            <v>72.309982486865138</v>
          </cell>
          <cell r="K422">
            <v>70.655915097863755</v>
          </cell>
          <cell r="L422">
            <v>-1.6540673890013835</v>
          </cell>
          <cell r="N422">
            <v>52.47989789406509</v>
          </cell>
          <cell r="O422">
            <v>50.449078898979835</v>
          </cell>
          <cell r="P422">
            <v>-2.0308189950852551</v>
          </cell>
          <cell r="R422">
            <v>69.900191324019957</v>
          </cell>
          <cell r="S422">
            <v>68.446234520034722</v>
          </cell>
          <cell r="T422">
            <v>-1.4539568039852355</v>
          </cell>
          <cell r="V422">
            <v>92.325935856760395</v>
          </cell>
          <cell r="W422">
            <v>90.640019262421092</v>
          </cell>
          <cell r="X422">
            <v>-1.6859165943393037</v>
          </cell>
          <cell r="Z422">
            <v>68.262262839997632</v>
          </cell>
        </row>
        <row r="423">
          <cell r="A423" t="str">
            <v>MidCentral DHB</v>
          </cell>
          <cell r="B423">
            <v>201.88848150829423</v>
          </cell>
          <cell r="C423">
            <v>198.0254846278402</v>
          </cell>
          <cell r="D423">
            <v>-3.862996880454034</v>
          </cell>
          <cell r="F423">
            <v>82.247393795806076</v>
          </cell>
          <cell r="G423">
            <v>82.112219235105371</v>
          </cell>
          <cell r="H423">
            <v>-0.13517456070070466</v>
          </cell>
          <cell r="J423">
            <v>73.86170117879864</v>
          </cell>
          <cell r="K423">
            <v>74.31424314039657</v>
          </cell>
          <cell r="L423">
            <v>0.45254196159793025</v>
          </cell>
          <cell r="N423">
            <v>47.081535316829431</v>
          </cell>
          <cell r="O423">
            <v>45.904109589041099</v>
          </cell>
          <cell r="P423">
            <v>-1.1774257277883322</v>
          </cell>
          <cell r="R423">
            <v>60.410639227032043</v>
          </cell>
          <cell r="S423">
            <v>61.636757515030055</v>
          </cell>
          <cell r="T423">
            <v>1.2261182879980126</v>
          </cell>
          <cell r="V423">
            <v>92.435547810157118</v>
          </cell>
          <cell r="W423">
            <v>91.811160655153216</v>
          </cell>
          <cell r="X423">
            <v>-0.62438715500390174</v>
          </cell>
          <cell r="Z423">
            <v>65.566541348353695</v>
          </cell>
        </row>
        <row r="424">
          <cell r="A424" t="str">
            <v>Wairarapa DHB</v>
          </cell>
          <cell r="B424">
            <v>249.79826866717261</v>
          </cell>
          <cell r="C424">
            <v>244.74273164328784</v>
          </cell>
          <cell r="D424">
            <v>-5.0555370238847672</v>
          </cell>
          <cell r="F424">
            <v>82.408424819965035</v>
          </cell>
          <cell r="G424">
            <v>81.059765787953367</v>
          </cell>
          <cell r="H424">
            <v>-1.3486590320116676</v>
          </cell>
          <cell r="J424">
            <v>75.58321139709237</v>
          </cell>
          <cell r="K424">
            <v>74.686906283743554</v>
          </cell>
          <cell r="L424">
            <v>-0.89630511334881646</v>
          </cell>
          <cell r="N424">
            <v>56.676718726589826</v>
          </cell>
          <cell r="O424">
            <v>56.03234987858999</v>
          </cell>
          <cell r="P424">
            <v>-0.64436884799983574</v>
          </cell>
          <cell r="R424">
            <v>64.56948486459649</v>
          </cell>
          <cell r="S424">
            <v>65.483901161120414</v>
          </cell>
          <cell r="T424">
            <v>0.91441629652392464</v>
          </cell>
          <cell r="V424">
            <v>92.445192357627135</v>
          </cell>
          <cell r="W424">
            <v>91.736683656945871</v>
          </cell>
          <cell r="X424">
            <v>-0.70850870068126426</v>
          </cell>
          <cell r="Z424">
            <v>68.068293171664294</v>
          </cell>
        </row>
        <row r="425">
          <cell r="A425" t="str">
            <v>Whanganui DHB</v>
          </cell>
          <cell r="B425">
            <v>217.68808719925013</v>
          </cell>
          <cell r="C425">
            <v>227.65984952297231</v>
          </cell>
          <cell r="D425">
            <v>9.9717623237221744</v>
          </cell>
          <cell r="F425">
            <v>80.672053448084924</v>
          </cell>
          <cell r="G425">
            <v>82.054731249853759</v>
          </cell>
          <cell r="H425">
            <v>1.3826778017688355</v>
          </cell>
          <cell r="J425">
            <v>73.870494640599148</v>
          </cell>
          <cell r="K425">
            <v>73.668314113124623</v>
          </cell>
          <cell r="L425">
            <v>-0.20218052747452475</v>
          </cell>
          <cell r="N425">
            <v>48.38876404703656</v>
          </cell>
          <cell r="O425">
            <v>49.317335539925537</v>
          </cell>
          <cell r="P425">
            <v>0.92857149288897745</v>
          </cell>
          <cell r="R425">
            <v>66.586957099526799</v>
          </cell>
          <cell r="S425">
            <v>65.573832679750964</v>
          </cell>
          <cell r="T425">
            <v>-1.0131244197758349</v>
          </cell>
          <cell r="V425">
            <v>91.419085394365624</v>
          </cell>
          <cell r="W425">
            <v>93.371267033922919</v>
          </cell>
          <cell r="X425">
            <v>1.9521816395572955</v>
          </cell>
          <cell r="Z425">
            <v>68.738748471822461</v>
          </cell>
        </row>
        <row r="426">
          <cell r="A426" t="str">
            <v>Central Region Total</v>
          </cell>
          <cell r="B426">
            <v>183.21119299638156</v>
          </cell>
          <cell r="C426">
            <v>183.74347567657725</v>
          </cell>
          <cell r="D426">
            <v>0.53228268019569214</v>
          </cell>
          <cell r="F426">
            <v>81.367618706641053</v>
          </cell>
          <cell r="G426">
            <v>81.340072672060998</v>
          </cell>
          <cell r="H426">
            <v>-2.7546034580055334E-2</v>
          </cell>
          <cell r="J426">
            <v>74.284760454331433</v>
          </cell>
          <cell r="K426">
            <v>73.926877703678372</v>
          </cell>
          <cell r="L426">
            <v>-0.35788275065306152</v>
          </cell>
          <cell r="N426">
            <v>51.402650117264002</v>
          </cell>
          <cell r="O426">
            <v>50.483937228330092</v>
          </cell>
          <cell r="P426">
            <v>-0.91871288893391068</v>
          </cell>
          <cell r="R426">
            <v>67.868381038610892</v>
          </cell>
          <cell r="S426">
            <v>66.355077673210076</v>
          </cell>
          <cell r="T426">
            <v>-1.5133033654008159</v>
          </cell>
          <cell r="V426">
            <v>92.073236284346734</v>
          </cell>
          <cell r="W426">
            <v>91.50159900180671</v>
          </cell>
          <cell r="X426">
            <v>-0.57163728254002422</v>
          </cell>
          <cell r="Z426">
            <v>69.003037982737098</v>
          </cell>
        </row>
        <row r="428">
          <cell r="A428" t="str">
            <v>Canterbury DHB</v>
          </cell>
          <cell r="B428">
            <v>207.16979482921286</v>
          </cell>
          <cell r="C428">
            <v>208.27357020306286</v>
          </cell>
          <cell r="D428">
            <v>1.1037753738499987</v>
          </cell>
          <cell r="F428">
            <v>77.285037330782558</v>
          </cell>
          <cell r="G428">
            <v>76.768820763213043</v>
          </cell>
          <cell r="H428">
            <v>-0.51621656756951495</v>
          </cell>
          <cell r="J428">
            <v>72.566490061577866</v>
          </cell>
          <cell r="K428">
            <v>72.832196522659274</v>
          </cell>
          <cell r="L428">
            <v>0.2657064610814075</v>
          </cell>
          <cell r="N428">
            <v>48.573110077662506</v>
          </cell>
          <cell r="O428">
            <v>50.47959994541791</v>
          </cell>
          <cell r="P428">
            <v>1.9064898677554041</v>
          </cell>
          <cell r="R428">
            <v>70.552643924321558</v>
          </cell>
          <cell r="S428">
            <v>70.623985631277492</v>
          </cell>
          <cell r="T428">
            <v>7.1341706955934114E-2</v>
          </cell>
          <cell r="V428">
            <v>89.788418238504889</v>
          </cell>
          <cell r="W428">
            <v>89.668205800072528</v>
          </cell>
          <cell r="X428">
            <v>-0.12021243843236107</v>
          </cell>
          <cell r="Z428">
            <v>68.555543995228447</v>
          </cell>
        </row>
        <row r="429">
          <cell r="A429" t="str">
            <v>Nelson Marlborough DHB</v>
          </cell>
          <cell r="B429">
            <v>247.33422698949008</v>
          </cell>
          <cell r="C429">
            <v>245.17640103852978</v>
          </cell>
          <cell r="D429">
            <v>-2.1578259509603015</v>
          </cell>
          <cell r="F429">
            <v>84.657198276579862</v>
          </cell>
          <cell r="G429">
            <v>83.774391601494401</v>
          </cell>
          <cell r="H429">
            <v>-0.88280667508546173</v>
          </cell>
          <cell r="J429">
            <v>66.568072386236054</v>
          </cell>
          <cell r="K429">
            <v>65.135205308348489</v>
          </cell>
          <cell r="L429">
            <v>-1.4328670778875647</v>
          </cell>
          <cell r="N429">
            <v>52.374756742192282</v>
          </cell>
          <cell r="O429">
            <v>49.724447475728155</v>
          </cell>
          <cell r="P429">
            <v>-2.6503092664641272</v>
          </cell>
          <cell r="R429">
            <v>65.329426602491367</v>
          </cell>
          <cell r="S429">
            <v>63.621378765545835</v>
          </cell>
          <cell r="T429">
            <v>-1.7080478369455321</v>
          </cell>
          <cell r="V429">
            <v>90.824324282327765</v>
          </cell>
          <cell r="W429">
            <v>89.534884736254511</v>
          </cell>
          <cell r="X429">
            <v>-1.289439546073254</v>
          </cell>
          <cell r="Z429">
            <v>64.721901577550284</v>
          </cell>
        </row>
        <row r="430">
          <cell r="A430" t="str">
            <v>South Canterbury DHB</v>
          </cell>
          <cell r="B430">
            <v>260.98316858135183</v>
          </cell>
          <cell r="C430">
            <v>267.51276440554346</v>
          </cell>
          <cell r="D430">
            <v>6.529595824191631</v>
          </cell>
          <cell r="F430">
            <v>79.58366571699905</v>
          </cell>
          <cell r="G430">
            <v>79.084437756814637</v>
          </cell>
          <cell r="H430">
            <v>-0.49922796018441318</v>
          </cell>
          <cell r="J430">
            <v>73.976613675181596</v>
          </cell>
          <cell r="K430">
            <v>73.319283456269758</v>
          </cell>
          <cell r="L430">
            <v>-0.65733021891183796</v>
          </cell>
          <cell r="N430">
            <v>47.315271740906567</v>
          </cell>
          <cell r="O430">
            <v>49.04320378772934</v>
          </cell>
          <cell r="P430">
            <v>1.7279320468227723</v>
          </cell>
          <cell r="R430">
            <v>68.949801139417389</v>
          </cell>
          <cell r="S430">
            <v>70.211864406779668</v>
          </cell>
          <cell r="T430">
            <v>1.2620632673622794</v>
          </cell>
          <cell r="V430">
            <v>91.83976031998516</v>
          </cell>
          <cell r="W430">
            <v>93.544531664994381</v>
          </cell>
          <cell r="X430">
            <v>1.7047713450092203</v>
          </cell>
          <cell r="Z430">
            <v>66.384424391720174</v>
          </cell>
        </row>
        <row r="431">
          <cell r="A431" t="str">
            <v>Southern DHB</v>
          </cell>
          <cell r="B431">
            <v>232.26436834739644</v>
          </cell>
          <cell r="C431">
            <v>226.05246218516038</v>
          </cell>
          <cell r="D431">
            <v>-6.2119061622360618</v>
          </cell>
          <cell r="F431">
            <v>82.675144944554205</v>
          </cell>
          <cell r="G431">
            <v>82.835449736780561</v>
          </cell>
          <cell r="H431">
            <v>0.16030479222635563</v>
          </cell>
          <cell r="J431">
            <v>75.391959657384589</v>
          </cell>
          <cell r="K431">
            <v>76.474310871735909</v>
          </cell>
          <cell r="L431">
            <v>1.0823512143513199</v>
          </cell>
          <cell r="N431">
            <v>57.022552480877167</v>
          </cell>
          <cell r="O431">
            <v>58.848574144486683</v>
          </cell>
          <cell r="P431">
            <v>1.8260216636095166</v>
          </cell>
          <cell r="R431">
            <v>67.735560134298836</v>
          </cell>
          <cell r="S431">
            <v>65.297117610850151</v>
          </cell>
          <cell r="T431">
            <v>-2.4384425234486855</v>
          </cell>
          <cell r="V431">
            <v>99.547609841016595</v>
          </cell>
          <cell r="W431">
            <v>98.8177765226189</v>
          </cell>
          <cell r="X431">
            <v>-0.72983331839769505</v>
          </cell>
          <cell r="Z431">
            <v>70.517376271315456</v>
          </cell>
        </row>
        <row r="432">
          <cell r="A432" t="str">
            <v>West Coast DHB</v>
          </cell>
          <cell r="B432">
            <v>281.11005748411185</v>
          </cell>
          <cell r="C432">
            <v>285.80000000000007</v>
          </cell>
          <cell r="D432">
            <v>4.6899425158882195</v>
          </cell>
          <cell r="F432">
            <v>85.268432347400221</v>
          </cell>
          <cell r="G432">
            <v>86.243109650371366</v>
          </cell>
          <cell r="H432">
            <v>0.97467730297114485</v>
          </cell>
          <cell r="J432">
            <v>60.508667802372955</v>
          </cell>
          <cell r="K432">
            <v>61.192202655617287</v>
          </cell>
          <cell r="L432">
            <v>0.68353485324433194</v>
          </cell>
          <cell r="N432">
            <v>57.86693483471457</v>
          </cell>
          <cell r="O432">
            <v>56.5</v>
          </cell>
          <cell r="P432">
            <v>-1.36693483471457</v>
          </cell>
          <cell r="R432">
            <v>54.900089493929592</v>
          </cell>
          <cell r="S432">
            <v>56.092260515965599</v>
          </cell>
          <cell r="T432">
            <v>1.1921710220360069</v>
          </cell>
          <cell r="V432">
            <v>83.7671395108068</v>
          </cell>
          <cell r="W432">
            <v>85.134897360703818</v>
          </cell>
          <cell r="X432">
            <v>1.3677578498970178</v>
          </cell>
          <cell r="Z432">
            <v>58.171191155764795</v>
          </cell>
        </row>
        <row r="433">
          <cell r="A433" t="str">
            <v>Southern Region Total</v>
          </cell>
          <cell r="B433">
            <v>222.39988169169013</v>
          </cell>
          <cell r="C433">
            <v>221.71844810574603</v>
          </cell>
          <cell r="D433">
            <v>-0.68143358594409165</v>
          </cell>
          <cell r="F433">
            <v>79.8915569579612</v>
          </cell>
          <cell r="G433">
            <v>79.574568789309964</v>
          </cell>
          <cell r="H433">
            <v>-0.31698816865123547</v>
          </cell>
          <cell r="J433">
            <v>71.39546472255185</v>
          </cell>
          <cell r="K433">
            <v>71.453740391200412</v>
          </cell>
          <cell r="L433">
            <v>5.8275668648562373E-2</v>
          </cell>
          <cell r="N433">
            <v>50.492021390259872</v>
          </cell>
          <cell r="O433">
            <v>51.690567912352506</v>
          </cell>
          <cell r="P433">
            <v>1.1985465220926343</v>
          </cell>
          <cell r="R433">
            <v>68.246970094264313</v>
          </cell>
          <cell r="S433">
            <v>67.508623003569141</v>
          </cell>
          <cell r="T433">
            <v>-0.73834709069517146</v>
          </cell>
          <cell r="V433">
            <v>92.144836501855437</v>
          </cell>
          <cell r="W433">
            <v>91.881401111377244</v>
          </cell>
          <cell r="X433">
            <v>-0.2634353904781932</v>
          </cell>
          <cell r="Z433">
            <v>67.764283452972563</v>
          </cell>
        </row>
        <row r="434">
          <cell r="A434" t="str">
            <v>Total</v>
          </cell>
          <cell r="B434">
            <v>202.09919934584261</v>
          </cell>
          <cell r="C434">
            <v>198.36254483904452</v>
          </cell>
          <cell r="D434">
            <v>-3.7366545067980894</v>
          </cell>
          <cell r="F434">
            <v>81.054282452261347</v>
          </cell>
          <cell r="G434">
            <v>81.273977301675302</v>
          </cell>
          <cell r="H434">
            <v>0.21969484941395478</v>
          </cell>
          <cell r="J434">
            <v>73.272213777044072</v>
          </cell>
          <cell r="K434">
            <v>72.665304141084349</v>
          </cell>
          <cell r="L434">
            <v>-0.60690963595972391</v>
          </cell>
          <cell r="N434">
            <v>50.655499881594558</v>
          </cell>
          <cell r="O434">
            <v>49.510615389629564</v>
          </cell>
          <cell r="P434">
            <v>-1.1448844919649943</v>
          </cell>
          <cell r="R434">
            <v>72.024161695337042</v>
          </cell>
          <cell r="S434">
            <v>71.829587975547497</v>
          </cell>
          <cell r="T434">
            <v>-0.19457371978954541</v>
          </cell>
          <cell r="V434">
            <v>94.027913814358342</v>
          </cell>
          <cell r="W434">
            <v>93.513813386543561</v>
          </cell>
          <cell r="X434">
            <v>-0.51410042781478182</v>
          </cell>
          <cell r="Z434">
            <v>69.998514948477492</v>
          </cell>
        </row>
        <row r="448">
          <cell r="B448" t="str">
            <v>Actual</v>
          </cell>
          <cell r="C448" t="str">
            <v xml:space="preserve">Plan </v>
          </cell>
          <cell r="D448" t="str">
            <v>Variance</v>
          </cell>
          <cell r="F448" t="str">
            <v>Actual</v>
          </cell>
          <cell r="G448" t="str">
            <v xml:space="preserve">Plan </v>
          </cell>
          <cell r="H448" t="str">
            <v>Variance</v>
          </cell>
          <cell r="J448" t="str">
            <v>Actual</v>
          </cell>
          <cell r="K448" t="str">
            <v xml:space="preserve">Plan </v>
          </cell>
          <cell r="L448" t="str">
            <v>Variance</v>
          </cell>
          <cell r="N448" t="str">
            <v>Actual</v>
          </cell>
          <cell r="O448" t="str">
            <v xml:space="preserve">Plan </v>
          </cell>
          <cell r="P448" t="str">
            <v>Variance</v>
          </cell>
          <cell r="R448" t="str">
            <v>Actual</v>
          </cell>
          <cell r="S448" t="str">
            <v xml:space="preserve">Plan </v>
          </cell>
          <cell r="T448" t="str">
            <v>Variance</v>
          </cell>
          <cell r="V448" t="str">
            <v>Actual</v>
          </cell>
          <cell r="W448" t="str">
            <v xml:space="preserve">Plan </v>
          </cell>
          <cell r="X448" t="str">
            <v>Variance</v>
          </cell>
          <cell r="Z448" t="str">
            <v>Actual</v>
          </cell>
        </row>
        <row r="450">
          <cell r="A450" t="str">
            <v>Auckland DHB</v>
          </cell>
          <cell r="B450">
            <v>200.68706783254572</v>
          </cell>
          <cell r="C450">
            <v>201.17986257010509</v>
          </cell>
          <cell r="D450">
            <v>0.49279473755936465</v>
          </cell>
          <cell r="F450">
            <v>87.934711730424553</v>
          </cell>
          <cell r="G450">
            <v>84.672374794718706</v>
          </cell>
          <cell r="H450">
            <v>-3.2623369357058465</v>
          </cell>
          <cell r="J450">
            <v>82.047620002969239</v>
          </cell>
          <cell r="K450">
            <v>79.708000512070853</v>
          </cell>
          <cell r="L450">
            <v>-2.3396194908983858</v>
          </cell>
          <cell r="N450">
            <v>52.030561305664378</v>
          </cell>
          <cell r="O450">
            <v>48.234610917537744</v>
          </cell>
          <cell r="P450">
            <v>-3.7959503881266343</v>
          </cell>
          <cell r="R450">
            <v>86.535429087060834</v>
          </cell>
          <cell r="S450">
            <v>78.335707905435427</v>
          </cell>
          <cell r="T450">
            <v>-8.1997211816254065</v>
          </cell>
          <cell r="V450">
            <v>106.83263173746298</v>
          </cell>
          <cell r="W450">
            <v>103.05546724438938</v>
          </cell>
          <cell r="X450">
            <v>-3.7771644930735988</v>
          </cell>
          <cell r="Z450">
            <v>80.370276526647245</v>
          </cell>
        </row>
        <row r="451">
          <cell r="A451" t="str">
            <v>Counties Manukau DHB</v>
          </cell>
          <cell r="B451">
            <v>190.77694562031911</v>
          </cell>
          <cell r="C451">
            <v>235.33865778491653</v>
          </cell>
          <cell r="D451">
            <v>44.561712164597424</v>
          </cell>
          <cell r="F451">
            <v>81.505890272635483</v>
          </cell>
          <cell r="G451">
            <v>82.416906838677093</v>
          </cell>
          <cell r="H451">
            <v>0.91101656604161008</v>
          </cell>
          <cell r="J451">
            <v>74.612959719789842</v>
          </cell>
          <cell r="K451">
            <v>71.456538956364085</v>
          </cell>
          <cell r="L451">
            <v>-3.1564207634257571</v>
          </cell>
          <cell r="N451">
            <v>55.277076847452072</v>
          </cell>
          <cell r="O451">
            <v>54.167169957535329</v>
          </cell>
          <cell r="P451">
            <v>-1.1099068899167435</v>
          </cell>
          <cell r="R451">
            <v>85.108768035516093</v>
          </cell>
          <cell r="S451">
            <v>79.051896257776377</v>
          </cell>
          <cell r="T451">
            <v>-6.0568717777397154</v>
          </cell>
          <cell r="V451">
            <v>95.848768378842848</v>
          </cell>
          <cell r="W451">
            <v>97.860595089060169</v>
          </cell>
          <cell r="X451">
            <v>2.0118267102173206</v>
          </cell>
          <cell r="Z451">
            <v>74.465136026650129</v>
          </cell>
        </row>
        <row r="452">
          <cell r="A452" t="str">
            <v>Northland DHB</v>
          </cell>
          <cell r="B452">
            <v>219.11310345863438</v>
          </cell>
          <cell r="C452">
            <v>203.71061611286942</v>
          </cell>
          <cell r="D452">
            <v>-15.402487345764968</v>
          </cell>
          <cell r="F452">
            <v>82.13891787132124</v>
          </cell>
          <cell r="G452">
            <v>85.012546442325288</v>
          </cell>
          <cell r="H452">
            <v>2.8736285710040477</v>
          </cell>
          <cell r="J452">
            <v>75.592407212742458</v>
          </cell>
          <cell r="K452">
            <v>73.594328903654514</v>
          </cell>
          <cell r="L452">
            <v>-1.9980783090879441</v>
          </cell>
          <cell r="N452">
            <v>49.950239732766185</v>
          </cell>
          <cell r="O452">
            <v>51.20337648809523</v>
          </cell>
          <cell r="P452">
            <v>1.2531367553290451</v>
          </cell>
          <cell r="R452">
            <v>76.376525199784552</v>
          </cell>
          <cell r="S452">
            <v>76.818797813140677</v>
          </cell>
          <cell r="T452">
            <v>0.44227261335612411</v>
          </cell>
          <cell r="V452">
            <v>95.6395328012525</v>
          </cell>
          <cell r="W452">
            <v>95.796041333913237</v>
          </cell>
          <cell r="X452">
            <v>0.15650853266073739</v>
          </cell>
          <cell r="Z452">
            <v>73.422506022331532</v>
          </cell>
        </row>
        <row r="453">
          <cell r="A453" t="str">
            <v>Waitemata DHB</v>
          </cell>
          <cell r="B453">
            <v>188.22092331203041</v>
          </cell>
          <cell r="C453">
            <v>185.94950939438596</v>
          </cell>
          <cell r="D453">
            <v>-2.2714139176444519</v>
          </cell>
          <cell r="F453">
            <v>85.083576448972991</v>
          </cell>
          <cell r="G453">
            <v>80.470022942075673</v>
          </cell>
          <cell r="H453">
            <v>-4.6135535068973184</v>
          </cell>
          <cell r="J453">
            <v>75.02854138093663</v>
          </cell>
          <cell r="K453">
            <v>71.317383877631002</v>
          </cell>
          <cell r="L453">
            <v>-3.7111575033056283</v>
          </cell>
          <cell r="N453">
            <v>51.077756111995662</v>
          </cell>
          <cell r="O453">
            <v>48.107478292586563</v>
          </cell>
          <cell r="P453">
            <v>-2.9702778194090982</v>
          </cell>
          <cell r="R453">
            <v>81.795971493193349</v>
          </cell>
          <cell r="S453">
            <v>90.387850467289724</v>
          </cell>
          <cell r="T453">
            <v>8.5918789740963746</v>
          </cell>
          <cell r="V453">
            <v>95.140132652569605</v>
          </cell>
          <cell r="W453">
            <v>92.721514379137517</v>
          </cell>
          <cell r="X453">
            <v>-2.418618273432088</v>
          </cell>
          <cell r="Z453">
            <v>74.083580315418246</v>
          </cell>
        </row>
        <row r="454">
          <cell r="A454" t="str">
            <v>Northern Region Total</v>
          </cell>
          <cell r="B454">
            <v>196.61587157695746</v>
          </cell>
          <cell r="C454">
            <v>204.93521331670038</v>
          </cell>
          <cell r="D454">
            <v>8.3193417397429243</v>
          </cell>
          <cell r="F454">
            <v>84.775904594237687</v>
          </cell>
          <cell r="G454">
            <v>82.926737969583698</v>
          </cell>
          <cell r="H454">
            <v>-1.8491666246539893</v>
          </cell>
          <cell r="J454">
            <v>77.578400650992592</v>
          </cell>
          <cell r="K454">
            <v>74.669246115296687</v>
          </cell>
          <cell r="L454">
            <v>-2.9091545356959045</v>
          </cell>
          <cell r="N454">
            <v>52.817056033320497</v>
          </cell>
          <cell r="O454">
            <v>50.540597322289869</v>
          </cell>
          <cell r="P454">
            <v>-2.276458711030628</v>
          </cell>
          <cell r="R454">
            <v>83.730382606800021</v>
          </cell>
          <cell r="S454">
            <v>81.187722710793778</v>
          </cell>
          <cell r="T454">
            <v>-2.5426598960062421</v>
          </cell>
          <cell r="V454">
            <v>99.630554303441016</v>
          </cell>
          <cell r="W454">
            <v>98.163024588252341</v>
          </cell>
          <cell r="X454">
            <v>-1.4675297151886753</v>
          </cell>
          <cell r="Z454">
            <v>76.342167594015109</v>
          </cell>
        </row>
        <row r="456">
          <cell r="A456" t="str">
            <v>Bay of Plenty DHB</v>
          </cell>
          <cell r="B456">
            <v>216.33266098201699</v>
          </cell>
          <cell r="C456">
            <v>214.83811193978559</v>
          </cell>
          <cell r="D456">
            <v>-1.4945490422313981</v>
          </cell>
          <cell r="F456">
            <v>82.094264560265771</v>
          </cell>
          <cell r="G456">
            <v>83.517257399888607</v>
          </cell>
          <cell r="H456">
            <v>1.422992839622836</v>
          </cell>
          <cell r="J456">
            <v>73.941466230672432</v>
          </cell>
          <cell r="K456">
            <v>74.792200195766739</v>
          </cell>
          <cell r="L456">
            <v>0.85073396509430665</v>
          </cell>
          <cell r="N456">
            <v>50.823873762030971</v>
          </cell>
          <cell r="O456">
            <v>52.447077346106084</v>
          </cell>
          <cell r="P456">
            <v>1.6232035840751138</v>
          </cell>
          <cell r="R456">
            <v>70.250884017260972</v>
          </cell>
          <cell r="S456">
            <v>70.816675906302521</v>
          </cell>
          <cell r="T456">
            <v>0.56579188904154876</v>
          </cell>
          <cell r="V456">
            <v>94.403090290720669</v>
          </cell>
          <cell r="W456">
            <v>95.763390353149958</v>
          </cell>
          <cell r="X456">
            <v>1.3603000624292889</v>
          </cell>
          <cell r="Z456">
            <v>69.837860214582506</v>
          </cell>
        </row>
        <row r="457">
          <cell r="A457" t="str">
            <v>Lakes DHB</v>
          </cell>
          <cell r="B457">
            <v>204.19521012200633</v>
          </cell>
          <cell r="C457">
            <v>203.88230277185502</v>
          </cell>
          <cell r="D457">
            <v>-0.31290735015130622</v>
          </cell>
          <cell r="F457">
            <v>84.427604871447897</v>
          </cell>
          <cell r="G457">
            <v>82.812863705972447</v>
          </cell>
          <cell r="H457">
            <v>-1.6147411654754507</v>
          </cell>
          <cell r="J457">
            <v>76.226661231145542</v>
          </cell>
          <cell r="K457">
            <v>76.83509341998375</v>
          </cell>
          <cell r="L457">
            <v>0.60843218883820782</v>
          </cell>
          <cell r="N457">
            <v>50.891191709844563</v>
          </cell>
          <cell r="O457">
            <v>52.343163538873995</v>
          </cell>
          <cell r="P457">
            <v>1.4519718290294321</v>
          </cell>
          <cell r="R457">
            <v>69.056459330143539</v>
          </cell>
          <cell r="S457">
            <v>69.29831144465291</v>
          </cell>
          <cell r="T457">
            <v>0.24185211450937061</v>
          </cell>
          <cell r="V457">
            <v>95.650026274303727</v>
          </cell>
          <cell r="W457">
            <v>96.113081604607018</v>
          </cell>
          <cell r="X457">
            <v>0.46305533030329116</v>
          </cell>
          <cell r="Z457">
            <v>69.616981132075466</v>
          </cell>
        </row>
        <row r="458">
          <cell r="A458" t="str">
            <v>Tairawhiti DHB</v>
          </cell>
          <cell r="B458">
            <v>302.59690844233057</v>
          </cell>
          <cell r="C458">
            <v>267.13318421052628</v>
          </cell>
          <cell r="D458">
            <v>-35.463724231804292</v>
          </cell>
          <cell r="F458">
            <v>88.816759776536315</v>
          </cell>
          <cell r="G458">
            <v>84.315775862068975</v>
          </cell>
          <cell r="H458">
            <v>-4.5009839144673407</v>
          </cell>
          <cell r="J458">
            <v>71.682819383259911</v>
          </cell>
          <cell r="K458">
            <v>74.13194838709677</v>
          </cell>
          <cell r="L458">
            <v>2.4491290038368589</v>
          </cell>
          <cell r="N458">
            <v>52.754285714285714</v>
          </cell>
          <cell r="O458">
            <v>57.083625730994164</v>
          </cell>
          <cell r="P458">
            <v>4.3293400167084499</v>
          </cell>
          <cell r="R458">
            <v>69.998773758430417</v>
          </cell>
          <cell r="S458">
            <v>66.297014492753632</v>
          </cell>
          <cell r="T458">
            <v>-3.7017592656767846</v>
          </cell>
          <cell r="V458">
            <v>100.61813415941857</v>
          </cell>
          <cell r="W458">
            <v>98.164867623132636</v>
          </cell>
          <cell r="X458">
            <v>-2.4532665362859376</v>
          </cell>
          <cell r="Z458">
            <v>68.489425981873111</v>
          </cell>
        </row>
        <row r="459">
          <cell r="A459" t="str">
            <v>Taranaki DHB</v>
          </cell>
          <cell r="B459">
            <v>235.7781570124574</v>
          </cell>
          <cell r="C459">
            <v>223.95939086294419</v>
          </cell>
          <cell r="D459">
            <v>-11.818766149513209</v>
          </cell>
          <cell r="F459">
            <v>83.001207256079397</v>
          </cell>
          <cell r="G459">
            <v>79.060764715214987</v>
          </cell>
          <cell r="H459">
            <v>-3.9404425408644101</v>
          </cell>
          <cell r="J459">
            <v>76.550544042338984</v>
          </cell>
          <cell r="K459">
            <v>71.590214067278282</v>
          </cell>
          <cell r="L459">
            <v>-4.9603299750607022</v>
          </cell>
          <cell r="N459">
            <v>52.263863548867654</v>
          </cell>
          <cell r="O459">
            <v>48.990629092331503</v>
          </cell>
          <cell r="P459">
            <v>-3.2732344565361515</v>
          </cell>
          <cell r="R459">
            <v>72.960166100162425</v>
          </cell>
          <cell r="S459">
            <v>71.060592171601428</v>
          </cell>
          <cell r="T459">
            <v>-1.8995739285609972</v>
          </cell>
          <cell r="V459">
            <v>96.218511956687905</v>
          </cell>
          <cell r="W459">
            <v>91.158330439613863</v>
          </cell>
          <cell r="X459">
            <v>-5.0601815170740423</v>
          </cell>
          <cell r="Z459">
            <v>71.306170437343411</v>
          </cell>
        </row>
        <row r="460">
          <cell r="A460" t="str">
            <v>Waikato DHB</v>
          </cell>
          <cell r="B460">
            <v>214.86277778446427</v>
          </cell>
          <cell r="C460">
            <v>225.86012112659174</v>
          </cell>
          <cell r="D460">
            <v>10.997343342127465</v>
          </cell>
          <cell r="F460">
            <v>83.054684556684805</v>
          </cell>
          <cell r="G460">
            <v>80.581311575049696</v>
          </cell>
          <cell r="H460">
            <v>-2.4733729816351087</v>
          </cell>
          <cell r="J460">
            <v>72.597927158520136</v>
          </cell>
          <cell r="K460">
            <v>73.01698846325317</v>
          </cell>
          <cell r="L460">
            <v>0.41906130473303449</v>
          </cell>
          <cell r="N460">
            <v>48.338446709647442</v>
          </cell>
          <cell r="O460">
            <v>48.14282244136146</v>
          </cell>
          <cell r="P460">
            <v>-0.19562426828598234</v>
          </cell>
          <cell r="R460">
            <v>71.56720519681312</v>
          </cell>
          <cell r="S460">
            <v>71.895372473040098</v>
          </cell>
          <cell r="T460">
            <v>0.32816727622697783</v>
          </cell>
          <cell r="V460">
            <v>94.894181598011244</v>
          </cell>
          <cell r="W460">
            <v>95.121597441283313</v>
          </cell>
          <cell r="X460">
            <v>0.22741584327206965</v>
          </cell>
          <cell r="Z460">
            <v>68.863813619846283</v>
          </cell>
        </row>
        <row r="461">
          <cell r="A461" t="str">
            <v>Midland Region Total</v>
          </cell>
          <cell r="B461">
            <v>220.12995096346259</v>
          </cell>
          <cell r="C461">
            <v>222.51972083985572</v>
          </cell>
          <cell r="D461">
            <v>2.3897698763931317</v>
          </cell>
          <cell r="F461">
            <v>83.289982875373468</v>
          </cell>
          <cell r="G461">
            <v>81.468101783141947</v>
          </cell>
          <cell r="H461">
            <v>-1.8218810922315214</v>
          </cell>
          <cell r="J461">
            <v>73.653014004842348</v>
          </cell>
          <cell r="K461">
            <v>73.655378111544081</v>
          </cell>
          <cell r="L461">
            <v>2.3641067017337036E-3</v>
          </cell>
          <cell r="N461">
            <v>49.895082129728685</v>
          </cell>
          <cell r="O461">
            <v>49.68655998302588</v>
          </cell>
          <cell r="P461">
            <v>-0.20852214670280489</v>
          </cell>
          <cell r="R461">
            <v>71.078564172861846</v>
          </cell>
          <cell r="S461">
            <v>70.926501126751447</v>
          </cell>
          <cell r="T461">
            <v>-0.15206304611039911</v>
          </cell>
          <cell r="V461">
            <v>95.351894447608444</v>
          </cell>
          <cell r="W461">
            <v>95.043926770026815</v>
          </cell>
          <cell r="X461">
            <v>-0.30796767758162957</v>
          </cell>
          <cell r="Z461">
            <v>69.441760295805793</v>
          </cell>
        </row>
        <row r="463">
          <cell r="A463" t="str">
            <v>Capital &amp; Coast DHB</v>
          </cell>
          <cell r="B463">
            <v>165.63893828548547</v>
          </cell>
          <cell r="C463">
            <v>173.58519954497947</v>
          </cell>
          <cell r="D463">
            <v>7.9462612594940083</v>
          </cell>
          <cell r="F463">
            <v>82.690660675342301</v>
          </cell>
          <cell r="G463">
            <v>81.645978235694272</v>
          </cell>
          <cell r="H463">
            <v>-1.0446824396480281</v>
          </cell>
          <cell r="J463">
            <v>78.224286176509835</v>
          </cell>
          <cell r="K463">
            <v>78.861781887993047</v>
          </cell>
          <cell r="L463">
            <v>0.63749571148321138</v>
          </cell>
          <cell r="N463">
            <v>54.8268800731082</v>
          </cell>
          <cell r="O463">
            <v>53.53806685112815</v>
          </cell>
          <cell r="P463">
            <v>-1.2888132219800497</v>
          </cell>
          <cell r="R463">
            <v>70.038966256565146</v>
          </cell>
          <cell r="S463">
            <v>71.687368469173975</v>
          </cell>
          <cell r="T463">
            <v>1.6484022126088291</v>
          </cell>
          <cell r="V463">
            <v>94.232723783827083</v>
          </cell>
          <cell r="W463">
            <v>94.934774813225687</v>
          </cell>
          <cell r="X463">
            <v>0.70205102939860353</v>
          </cell>
          <cell r="Z463">
            <v>72.147651636757743</v>
          </cell>
        </row>
        <row r="464">
          <cell r="A464" t="str">
            <v>Hawke's Bay DHB</v>
          </cell>
          <cell r="B464">
            <v>165.36595840055318</v>
          </cell>
          <cell r="C464">
            <v>180.15994776614886</v>
          </cell>
          <cell r="D464">
            <v>14.793989365595678</v>
          </cell>
          <cell r="F464">
            <v>82.720237971153651</v>
          </cell>
          <cell r="G464">
            <v>84.93260619332888</v>
          </cell>
          <cell r="H464">
            <v>2.212368222175229</v>
          </cell>
          <cell r="J464">
            <v>74.594147268909865</v>
          </cell>
          <cell r="K464">
            <v>77.882090226537215</v>
          </cell>
          <cell r="L464">
            <v>3.2879429576273509</v>
          </cell>
          <cell r="N464">
            <v>50.651330281387899</v>
          </cell>
          <cell r="O464">
            <v>54.879235918367328</v>
          </cell>
          <cell r="P464">
            <v>4.227905636979429</v>
          </cell>
          <cell r="R464">
            <v>71.183347306119103</v>
          </cell>
          <cell r="S464">
            <v>71.43367401630627</v>
          </cell>
          <cell r="T464">
            <v>0.25032671018716712</v>
          </cell>
          <cell r="V464">
            <v>89.232585188199295</v>
          </cell>
          <cell r="W464">
            <v>92.881211693929046</v>
          </cell>
          <cell r="X464">
            <v>3.6486265057297516</v>
          </cell>
          <cell r="Z464">
            <v>69.67595931564955</v>
          </cell>
        </row>
        <row r="465">
          <cell r="A465" t="str">
            <v>Hutt Valley DHB</v>
          </cell>
          <cell r="B465">
            <v>202.31256878892543</v>
          </cell>
          <cell r="C465">
            <v>209.75523561400416</v>
          </cell>
          <cell r="D465">
            <v>7.4426668250787316</v>
          </cell>
          <cell r="F465">
            <v>83.447135641956081</v>
          </cell>
          <cell r="G465">
            <v>82.291114507002234</v>
          </cell>
          <cell r="H465">
            <v>-1.1560211349538463</v>
          </cell>
          <cell r="J465">
            <v>74.251540464788064</v>
          </cell>
          <cell r="K465">
            <v>72.380801928249539</v>
          </cell>
          <cell r="L465">
            <v>-1.870738536538525</v>
          </cell>
          <cell r="N465">
            <v>53.329047805023833</v>
          </cell>
          <cell r="O465">
            <v>50.779798483769483</v>
          </cell>
          <cell r="P465">
            <v>-2.5492493212543508</v>
          </cell>
          <cell r="R465">
            <v>71.936231416869802</v>
          </cell>
          <cell r="S465">
            <v>71.5386841228337</v>
          </cell>
          <cell r="T465">
            <v>-0.39754729403610156</v>
          </cell>
          <cell r="V465">
            <v>93.641649951908022</v>
          </cell>
          <cell r="W465">
            <v>92.577748789820731</v>
          </cell>
          <cell r="X465">
            <v>-1.0639011620872907</v>
          </cell>
          <cell r="Z465">
            <v>70.108293497404816</v>
          </cell>
        </row>
        <row r="466">
          <cell r="A466" t="str">
            <v>MidCentral DHB</v>
          </cell>
          <cell r="B466">
            <v>211.65617516788689</v>
          </cell>
          <cell r="C466">
            <v>198.1589399837577</v>
          </cell>
          <cell r="D466">
            <v>-13.497235184129181</v>
          </cell>
          <cell r="F466">
            <v>84.406004096446296</v>
          </cell>
          <cell r="G466">
            <v>83.489421533676804</v>
          </cell>
          <cell r="H466">
            <v>-0.91658256276949146</v>
          </cell>
          <cell r="J466">
            <v>75.176237981613895</v>
          </cell>
          <cell r="K466">
            <v>74.961441203169542</v>
          </cell>
          <cell r="L466">
            <v>-0.2147967784443523</v>
          </cell>
          <cell r="N466">
            <v>47.524028983364133</v>
          </cell>
          <cell r="O466">
            <v>42.812853199179862</v>
          </cell>
          <cell r="P466">
            <v>-4.7111757841842703</v>
          </cell>
          <cell r="R466">
            <v>63.57029165829146</v>
          </cell>
          <cell r="S466">
            <v>63.637471253008947</v>
          </cell>
          <cell r="T466">
            <v>6.7179594717487134E-2</v>
          </cell>
          <cell r="V466">
            <v>95.93940602860286</v>
          </cell>
          <cell r="W466">
            <v>93.833003542506262</v>
          </cell>
          <cell r="X466">
            <v>-2.1064024860965986</v>
          </cell>
          <cell r="Z466">
            <v>67.79000752235666</v>
          </cell>
        </row>
        <row r="467">
          <cell r="A467" t="str">
            <v>Wairarapa DHB</v>
          </cell>
          <cell r="B467">
            <v>266.21800009224489</v>
          </cell>
          <cell r="C467">
            <v>248.78854665715224</v>
          </cell>
          <cell r="D467">
            <v>-17.429453435092654</v>
          </cell>
          <cell r="F467">
            <v>85.290160008620276</v>
          </cell>
          <cell r="G467">
            <v>83.10315561569692</v>
          </cell>
          <cell r="H467">
            <v>-2.187004392923356</v>
          </cell>
          <cell r="J467">
            <v>75.646023681195885</v>
          </cell>
          <cell r="K467">
            <v>75.993731406355735</v>
          </cell>
          <cell r="L467">
            <v>0.34770772515985016</v>
          </cell>
          <cell r="N467">
            <v>59.086637114754097</v>
          </cell>
          <cell r="O467">
            <v>56.64850432127551</v>
          </cell>
          <cell r="P467">
            <v>-2.4381327934785872</v>
          </cell>
          <cell r="R467">
            <v>64.813289412030628</v>
          </cell>
          <cell r="S467">
            <v>69.182425659873061</v>
          </cell>
          <cell r="T467">
            <v>4.3691362478424338</v>
          </cell>
          <cell r="V467">
            <v>95.48670406740878</v>
          </cell>
          <cell r="W467">
            <v>95.097251127929738</v>
          </cell>
          <cell r="X467">
            <v>-0.38945293947904247</v>
          </cell>
          <cell r="Z467">
            <v>68.325894455317169</v>
          </cell>
        </row>
        <row r="468">
          <cell r="A468" t="str">
            <v>Whanganui DHB</v>
          </cell>
          <cell r="B468">
            <v>226.57028715220886</v>
          </cell>
          <cell r="C468">
            <v>226.50400079027955</v>
          </cell>
          <cell r="D468">
            <v>-6.6286361929314808E-2</v>
          </cell>
          <cell r="F468">
            <v>82.400895671262205</v>
          </cell>
          <cell r="G468">
            <v>83.192078741085695</v>
          </cell>
          <cell r="H468">
            <v>0.7911830698234894</v>
          </cell>
          <cell r="J468">
            <v>75.767382547840185</v>
          </cell>
          <cell r="K468">
            <v>74.799860380800069</v>
          </cell>
          <cell r="L468">
            <v>-0.96752216704011573</v>
          </cell>
          <cell r="N468">
            <v>48.482608978743215</v>
          </cell>
          <cell r="O468">
            <v>50.469496766938427</v>
          </cell>
          <cell r="P468">
            <v>1.9868877881952116</v>
          </cell>
          <cell r="R468">
            <v>67.65364455053782</v>
          </cell>
          <cell r="S468">
            <v>67.873364763750047</v>
          </cell>
          <cell r="T468">
            <v>0.21972021321222712</v>
          </cell>
          <cell r="V468">
            <v>93.433077557136343</v>
          </cell>
          <cell r="W468">
            <v>94.623417485601351</v>
          </cell>
          <cell r="X468">
            <v>1.1903399284650078</v>
          </cell>
          <cell r="Z468">
            <v>70.248501873524404</v>
          </cell>
        </row>
        <row r="469">
          <cell r="A469" t="str">
            <v>Central Region Total</v>
          </cell>
          <cell r="B469">
            <v>183.2665658763855</v>
          </cell>
          <cell r="C469">
            <v>188.30321424220548</v>
          </cell>
          <cell r="D469">
            <v>5.0366483658199854</v>
          </cell>
          <cell r="F469">
            <v>83.177702739985392</v>
          </cell>
          <cell r="G469">
            <v>82.774477215190146</v>
          </cell>
          <cell r="H469">
            <v>-0.40322552479524632</v>
          </cell>
          <cell r="J469">
            <v>75.947862326496619</v>
          </cell>
          <cell r="K469">
            <v>76.386779336018407</v>
          </cell>
          <cell r="L469">
            <v>0.4389170095217878</v>
          </cell>
          <cell r="N469">
            <v>52.468943435177167</v>
          </cell>
          <cell r="O469">
            <v>52.303014846300563</v>
          </cell>
          <cell r="P469">
            <v>-0.16592858887660356</v>
          </cell>
          <cell r="R469">
            <v>68.776332741879841</v>
          </cell>
          <cell r="S469">
            <v>69.538216570801623</v>
          </cell>
          <cell r="T469">
            <v>0.76188382892178197</v>
          </cell>
          <cell r="V469">
            <v>93.524636553163162</v>
          </cell>
          <cell r="W469">
            <v>94.001883944630876</v>
          </cell>
          <cell r="X469">
            <v>0.47724739146771356</v>
          </cell>
          <cell r="Z469">
            <v>70.21878584812373</v>
          </cell>
        </row>
        <row r="471">
          <cell r="A471" t="str">
            <v>Canterbury DHB</v>
          </cell>
          <cell r="B471">
            <v>212.07538337810951</v>
          </cell>
          <cell r="C471">
            <v>212.84410147778283</v>
          </cell>
          <cell r="D471">
            <v>0.76871809967332183</v>
          </cell>
          <cell r="F471">
            <v>79.843499606919707</v>
          </cell>
          <cell r="G471">
            <v>79.576752788208239</v>
          </cell>
          <cell r="H471">
            <v>-0.26674681871146788</v>
          </cell>
          <cell r="J471">
            <v>75.021359399922687</v>
          </cell>
          <cell r="K471">
            <v>74.587535040482223</v>
          </cell>
          <cell r="L471">
            <v>-0.43382435944046449</v>
          </cell>
          <cell r="N471">
            <v>50.011173184357546</v>
          </cell>
          <cell r="O471">
            <v>49.714866237724344</v>
          </cell>
          <cell r="P471">
            <v>-0.29630694663320156</v>
          </cell>
          <cell r="R471">
            <v>72.607760223472724</v>
          </cell>
          <cell r="S471">
            <v>71.673029130690992</v>
          </cell>
          <cell r="T471">
            <v>-0.93473109278173183</v>
          </cell>
          <cell r="V471">
            <v>91.607308689182958</v>
          </cell>
          <cell r="W471">
            <v>91.301247080741433</v>
          </cell>
          <cell r="X471">
            <v>-0.30606160844152441</v>
          </cell>
          <cell r="Z471">
            <v>69.490615381501058</v>
          </cell>
        </row>
        <row r="472">
          <cell r="A472" t="str">
            <v>Nelson Marlborough DHB</v>
          </cell>
          <cell r="B472">
            <v>245.77438528735632</v>
          </cell>
          <cell r="C472">
            <v>255.13955824390243</v>
          </cell>
          <cell r="D472">
            <v>9.3651729565461039</v>
          </cell>
          <cell r="F472">
            <v>87.047658013838088</v>
          </cell>
          <cell r="G472">
            <v>86.470977354260086</v>
          </cell>
          <cell r="H472">
            <v>-0.57668065957800252</v>
          </cell>
          <cell r="J472">
            <v>71.348706994355439</v>
          </cell>
          <cell r="K472">
            <v>70.778815973154366</v>
          </cell>
          <cell r="L472">
            <v>-0.56989102120107304</v>
          </cell>
          <cell r="N472">
            <v>53.137424843699542</v>
          </cell>
          <cell r="O472">
            <v>52.516054423076916</v>
          </cell>
          <cell r="P472">
            <v>-0.62137042062262537</v>
          </cell>
          <cell r="R472">
            <v>67.159978699317719</v>
          </cell>
          <cell r="S472">
            <v>67.708856097560982</v>
          </cell>
          <cell r="T472">
            <v>0.54887739824326331</v>
          </cell>
          <cell r="V472">
            <v>93.867407768187661</v>
          </cell>
          <cell r="W472">
            <v>94.072622321152849</v>
          </cell>
          <cell r="X472">
            <v>0.20521455296518809</v>
          </cell>
          <cell r="Z472">
            <v>68.00318912793378</v>
          </cell>
        </row>
        <row r="473">
          <cell r="A473" t="str">
            <v>South Canterbury DHB</v>
          </cell>
          <cell r="B473">
            <v>263.97473494247691</v>
          </cell>
          <cell r="C473">
            <v>267.875</v>
          </cell>
          <cell r="D473">
            <v>3.9002650575230859</v>
          </cell>
          <cell r="F473">
            <v>82.971293158999728</v>
          </cell>
          <cell r="G473">
            <v>86.10526315789474</v>
          </cell>
          <cell r="H473">
            <v>3.1339699988950116</v>
          </cell>
          <cell r="J473">
            <v>78.079675481229188</v>
          </cell>
          <cell r="K473">
            <v>78.3010752688172</v>
          </cell>
          <cell r="L473">
            <v>0.22139978758801249</v>
          </cell>
          <cell r="N473">
            <v>48.920097882753481</v>
          </cell>
          <cell r="O473">
            <v>49.857142857142854</v>
          </cell>
          <cell r="P473">
            <v>0.93704497438937295</v>
          </cell>
          <cell r="R473">
            <v>71.347780391371813</v>
          </cell>
          <cell r="S473">
            <v>72.099927901946643</v>
          </cell>
          <cell r="T473">
            <v>0.75214751057482943</v>
          </cell>
          <cell r="V473">
            <v>96.53961472887967</v>
          </cell>
          <cell r="W473">
            <v>100.3281515519334</v>
          </cell>
          <cell r="X473">
            <v>3.7885368230537324</v>
          </cell>
          <cell r="Z473">
            <v>69.482188274016309</v>
          </cell>
        </row>
        <row r="474">
          <cell r="A474" t="str">
            <v>Southern DHB</v>
          </cell>
          <cell r="B474">
            <v>232.42616240219724</v>
          </cell>
          <cell r="C474">
            <v>228.30531062211642</v>
          </cell>
          <cell r="D474">
            <v>-4.1208517800808124</v>
          </cell>
          <cell r="F474">
            <v>84.453002457603162</v>
          </cell>
          <cell r="G474">
            <v>83.491355612838888</v>
          </cell>
          <cell r="H474">
            <v>-0.96164684476427453</v>
          </cell>
          <cell r="J474">
            <v>76.534598413853743</v>
          </cell>
          <cell r="K474">
            <v>76.488403501881436</v>
          </cell>
          <cell r="L474">
            <v>-4.6194911972307295E-2</v>
          </cell>
          <cell r="N474">
            <v>57.207307671060896</v>
          </cell>
          <cell r="O474">
            <v>60.381906670483836</v>
          </cell>
          <cell r="P474">
            <v>3.1745989994229404</v>
          </cell>
          <cell r="R474">
            <v>66.032539897233946</v>
          </cell>
          <cell r="S474">
            <v>67.480533464445955</v>
          </cell>
          <cell r="T474">
            <v>1.4479935672120092</v>
          </cell>
          <cell r="V474">
            <v>100.72865066164032</v>
          </cell>
          <cell r="W474">
            <v>101.0576382807017</v>
          </cell>
          <cell r="X474">
            <v>0.32898761906137963</v>
          </cell>
          <cell r="Z474">
            <v>70.248248329747298</v>
          </cell>
        </row>
        <row r="475">
          <cell r="A475" t="str">
            <v>West Coast DHB</v>
          </cell>
          <cell r="B475">
            <v>278.64510471439542</v>
          </cell>
          <cell r="C475">
            <v>310.32369566179551</v>
          </cell>
          <cell r="D475">
            <v>31.678590947400096</v>
          </cell>
          <cell r="F475">
            <v>91.197883181217108</v>
          </cell>
          <cell r="G475">
            <v>85.190173801541249</v>
          </cell>
          <cell r="H475">
            <v>-6.0077093796758589</v>
          </cell>
          <cell r="J475">
            <v>65.218957351154444</v>
          </cell>
          <cell r="K475">
            <v>65.444124403162235</v>
          </cell>
          <cell r="L475">
            <v>0.22516705200779086</v>
          </cell>
          <cell r="N475">
            <v>65.788739354835428</v>
          </cell>
          <cell r="O475">
            <v>58.292694924737063</v>
          </cell>
          <cell r="P475">
            <v>-7.4960444300983653</v>
          </cell>
          <cell r="R475">
            <v>58.539211996724397</v>
          </cell>
          <cell r="S475">
            <v>57.3256771769369</v>
          </cell>
          <cell r="T475">
            <v>-1.2135348197874976</v>
          </cell>
          <cell r="V475">
            <v>89.328505595332729</v>
          </cell>
          <cell r="W475">
            <v>87.136901268478127</v>
          </cell>
          <cell r="X475">
            <v>-2.1916043268546019</v>
          </cell>
          <cell r="Z475">
            <v>62.571932487691377</v>
          </cell>
        </row>
        <row r="476">
          <cell r="A476" t="str">
            <v>Southern Region Total</v>
          </cell>
          <cell r="B476">
            <v>225.12087675202804</v>
          </cell>
          <cell r="C476">
            <v>226.30731643320138</v>
          </cell>
          <cell r="D476">
            <v>1.18643968117334</v>
          </cell>
          <cell r="F476">
            <v>82.40459834551416</v>
          </cell>
          <cell r="G476">
            <v>81.820506786013112</v>
          </cell>
          <cell r="H476">
            <v>-0.58409155950104719</v>
          </cell>
          <cell r="J476">
            <v>74.178515083863616</v>
          </cell>
          <cell r="K476">
            <v>73.836937997182844</v>
          </cell>
          <cell r="L476">
            <v>-0.34157708668077191</v>
          </cell>
          <cell r="N476">
            <v>51.417501182067838</v>
          </cell>
          <cell r="O476">
            <v>51.477979320624549</v>
          </cell>
          <cell r="P476">
            <v>6.0478138556710803E-2</v>
          </cell>
          <cell r="R476">
            <v>69.359152250255661</v>
          </cell>
          <cell r="S476">
            <v>69.331806365182757</v>
          </cell>
          <cell r="T476">
            <v>-2.7345885072904252E-2</v>
          </cell>
          <cell r="V476">
            <v>94.209515484167184</v>
          </cell>
          <cell r="W476">
            <v>94.23508167602202</v>
          </cell>
          <cell r="X476">
            <v>2.5566191854835552E-2</v>
          </cell>
          <cell r="Z476">
            <v>69.085221021147333</v>
          </cell>
        </row>
        <row r="477">
          <cell r="A477" t="str">
            <v>Total</v>
          </cell>
          <cell r="B477">
            <v>203.39322825998539</v>
          </cell>
          <cell r="C477">
            <v>208.83817033408613</v>
          </cell>
          <cell r="D477">
            <v>5.4449420741007373</v>
          </cell>
          <cell r="F477">
            <v>83.613308146859382</v>
          </cell>
          <cell r="G477">
            <v>82.358632816979664</v>
          </cell>
          <cell r="H477">
            <v>-1.2546753298797171</v>
          </cell>
          <cell r="J477">
            <v>75.772307455050566</v>
          </cell>
          <cell r="K477">
            <v>74.589863094602009</v>
          </cell>
          <cell r="L477">
            <v>-1.1824443604485566</v>
          </cell>
          <cell r="N477">
            <v>51.830400365509583</v>
          </cell>
          <cell r="O477">
            <v>50.866649283589382</v>
          </cell>
          <cell r="P477">
            <v>-0.96375108192020065</v>
          </cell>
          <cell r="R477">
            <v>74.282492825089037</v>
          </cell>
          <cell r="S477">
            <v>73.649803215378739</v>
          </cell>
          <cell r="T477">
            <v>-0.63268960971029742</v>
          </cell>
          <cell r="V477">
            <v>96.353922998301755</v>
          </cell>
          <cell r="W477">
            <v>95.850222723617961</v>
          </cell>
          <cell r="X477">
            <v>-0.50370027468379419</v>
          </cell>
          <cell r="Z477">
            <v>72.072370993755612</v>
          </cell>
        </row>
        <row r="490">
          <cell r="B490" t="str">
            <v>Actual</v>
          </cell>
          <cell r="C490" t="str">
            <v xml:space="preserve">Plan </v>
          </cell>
          <cell r="D490" t="str">
            <v>Variance</v>
          </cell>
          <cell r="F490" t="str">
            <v>Actual</v>
          </cell>
          <cell r="G490" t="str">
            <v xml:space="preserve">Plan </v>
          </cell>
          <cell r="H490" t="str">
            <v>Variance</v>
          </cell>
          <cell r="J490" t="str">
            <v>Actual</v>
          </cell>
          <cell r="K490" t="str">
            <v xml:space="preserve">Plan </v>
          </cell>
          <cell r="L490" t="str">
            <v>Variance</v>
          </cell>
          <cell r="N490" t="str">
            <v>Actual</v>
          </cell>
          <cell r="O490" t="str">
            <v xml:space="preserve">Plan </v>
          </cell>
          <cell r="P490" t="str">
            <v>Variance</v>
          </cell>
          <cell r="R490" t="str">
            <v>Actual</v>
          </cell>
          <cell r="S490" t="str">
            <v xml:space="preserve">Plan </v>
          </cell>
          <cell r="T490" t="str">
            <v>Variance</v>
          </cell>
          <cell r="V490" t="str">
            <v>Actual</v>
          </cell>
          <cell r="W490" t="str">
            <v xml:space="preserve">Plan </v>
          </cell>
          <cell r="X490" t="str">
            <v>Variance</v>
          </cell>
          <cell r="Y490" t="str">
            <v>Incr over Mar18</v>
          </cell>
          <cell r="Z490" t="str">
            <v>Actual</v>
          </cell>
          <cell r="AF490" t="str">
            <v>Incr to Mar19</v>
          </cell>
          <cell r="AJ490" t="str">
            <v>Incr to Mar19</v>
          </cell>
        </row>
        <row r="492">
          <cell r="A492" t="str">
            <v>Auckland DHB</v>
          </cell>
          <cell r="B492">
            <v>208.18214333385671</v>
          </cell>
          <cell r="C492">
            <v>206.91571666443826</v>
          </cell>
          <cell r="D492">
            <v>-1.2664266694184505</v>
          </cell>
          <cell r="F492">
            <v>87.602867655764626</v>
          </cell>
          <cell r="G492">
            <v>88.146889893907115</v>
          </cell>
          <cell r="H492">
            <v>0.54402223814248885</v>
          </cell>
          <cell r="J492">
            <v>82.562761659933898</v>
          </cell>
          <cell r="K492">
            <v>82.103558562545842</v>
          </cell>
          <cell r="L492">
            <v>-0.45920309738805543</v>
          </cell>
          <cell r="N492">
            <v>54.188112178929771</v>
          </cell>
          <cell r="O492">
            <v>51.007933170016109</v>
          </cell>
          <cell r="P492">
            <v>-3.1801790089136617</v>
          </cell>
          <cell r="R492">
            <v>83.945125403762106</v>
          </cell>
          <cell r="S492">
            <v>80.192900602485466</v>
          </cell>
          <cell r="T492">
            <v>-3.7522248012766397</v>
          </cell>
          <cell r="V492">
            <v>107.58776599066354</v>
          </cell>
          <cell r="W492">
            <v>106.47702406151198</v>
          </cell>
          <cell r="X492">
            <v>-1.1107419291515583</v>
          </cell>
          <cell r="Y492">
            <v>4.1896045780163815E-2</v>
          </cell>
          <cell r="Z492">
            <v>79.751560408069878</v>
          </cell>
          <cell r="AB492" t="str">
            <v>Auckland DHB</v>
          </cell>
          <cell r="AC492">
            <v>196.04199787371988</v>
          </cell>
          <cell r="AD492">
            <v>199.70126110157648</v>
          </cell>
          <cell r="AE492">
            <v>3.6592632278565986</v>
          </cell>
          <cell r="AF492">
            <v>6.192624841518346E-2</v>
          </cell>
          <cell r="AG492">
            <v>85.076766788913602</v>
          </cell>
          <cell r="AH492">
            <v>84.407335363491214</v>
          </cell>
          <cell r="AI492">
            <v>-0.66943142542238832</v>
          </cell>
          <cell r="AJ492">
            <v>2.969201771758212E-2</v>
          </cell>
          <cell r="AK492">
            <v>80.139563967743214</v>
          </cell>
          <cell r="AL492">
            <v>78.949620249856096</v>
          </cell>
          <cell r="AM492">
            <v>-1.1899437178871182</v>
          </cell>
          <cell r="AN492">
            <v>3.0237220820992228E-2</v>
          </cell>
          <cell r="AO492">
            <v>50.656357208783945</v>
          </cell>
          <cell r="AP492">
            <v>48.349700263581447</v>
          </cell>
          <cell r="AQ492">
            <v>-2.3066569452024979</v>
          </cell>
          <cell r="AR492">
            <v>6.9719876531773473E-2</v>
          </cell>
          <cell r="AS492">
            <v>79.136065909556422</v>
          </cell>
          <cell r="AT492">
            <v>78.122364395149049</v>
          </cell>
          <cell r="AU492">
            <v>-1.0137015144073729</v>
          </cell>
          <cell r="AV492">
            <v>6.0769504257412787E-2</v>
          </cell>
          <cell r="AW492">
            <v>103.26151675727172</v>
          </cell>
          <cell r="AX492">
            <v>102.45588694622504</v>
          </cell>
          <cell r="AY492">
            <v>-0.80562981104668552</v>
          </cell>
          <cell r="AZ492">
            <v>4.1896045780163815E-2</v>
          </cell>
          <cell r="BA492">
            <v>76.56586750968151</v>
          </cell>
          <cell r="BB492">
            <v>4.1607220057756855E-2</v>
          </cell>
        </row>
        <row r="493">
          <cell r="A493" t="str">
            <v>Counties Manukau DHB</v>
          </cell>
          <cell r="B493">
            <v>201.75845620121422</v>
          </cell>
          <cell r="C493">
            <v>189.94713394713395</v>
          </cell>
          <cell r="D493">
            <v>-11.811322254080267</v>
          </cell>
          <cell r="F493">
            <v>85.207583216988766</v>
          </cell>
          <cell r="G493">
            <v>88.353978283076685</v>
          </cell>
          <cell r="H493">
            <v>3.1463950660879192</v>
          </cell>
          <cell r="J493">
            <v>75.134722629879661</v>
          </cell>
          <cell r="K493">
            <v>69.092749355907245</v>
          </cell>
          <cell r="L493">
            <v>-6.0419732739724168</v>
          </cell>
          <cell r="N493">
            <v>57.210191082802545</v>
          </cell>
          <cell r="O493">
            <v>55.303085299455539</v>
          </cell>
          <cell r="P493">
            <v>-1.9071057833470064</v>
          </cell>
          <cell r="R493">
            <v>86.47848285922683</v>
          </cell>
          <cell r="S493">
            <v>83.799802436615067</v>
          </cell>
          <cell r="T493">
            <v>-2.6786804226117624</v>
          </cell>
          <cell r="V493">
            <v>99.48126646420242</v>
          </cell>
          <cell r="W493">
            <v>98.301415324548572</v>
          </cell>
          <cell r="X493">
            <v>-1.1798511396538487</v>
          </cell>
          <cell r="Y493">
            <v>5.4561199062743926E-2</v>
          </cell>
          <cell r="Z493">
            <v>75.518590490996246</v>
          </cell>
          <cell r="AB493" t="str">
            <v>Counties Manukau DHB</v>
          </cell>
          <cell r="AC493">
            <v>189.51801160626297</v>
          </cell>
          <cell r="AD493">
            <v>234.21739193293791</v>
          </cell>
          <cell r="AE493">
            <v>44.699380326674941</v>
          </cell>
          <cell r="AF493">
            <v>6.4587236280114757E-2</v>
          </cell>
          <cell r="AG493">
            <v>80.397505197505197</v>
          </cell>
          <cell r="AH493">
            <v>82.174850116664231</v>
          </cell>
          <cell r="AI493">
            <v>1.7773449191590345</v>
          </cell>
          <cell r="AJ493">
            <v>5.9828697515763585E-2</v>
          </cell>
          <cell r="AK493">
            <v>71.734195824757407</v>
          </cell>
          <cell r="AL493">
            <v>71.21036803585018</v>
          </cell>
          <cell r="AM493">
            <v>-0.52382778890722648</v>
          </cell>
          <cell r="AN493">
            <v>4.740454348201717E-2</v>
          </cell>
          <cell r="AO493">
            <v>54.498023715415023</v>
          </cell>
          <cell r="AP493">
            <v>53.969917499496951</v>
          </cell>
          <cell r="AQ493">
            <v>-0.52810621591807205</v>
          </cell>
          <cell r="AR493">
            <v>4.9766343483394371E-2</v>
          </cell>
          <cell r="AS493">
            <v>83.318249627051216</v>
          </cell>
          <cell r="AT493">
            <v>79.021673488559344</v>
          </cell>
          <cell r="AU493">
            <v>-4.2965761384918721</v>
          </cell>
          <cell r="AV493">
            <v>3.7929664225081927E-2</v>
          </cell>
          <cell r="AW493">
            <v>94.334275291578891</v>
          </cell>
          <cell r="AX493">
            <v>97.549898829108088</v>
          </cell>
          <cell r="AY493">
            <v>3.2156235375291971</v>
          </cell>
          <cell r="AZ493">
            <v>5.4561199062743926E-2</v>
          </cell>
          <cell r="BA493">
            <v>72.378404455944917</v>
          </cell>
          <cell r="BB493">
            <v>4.3385676413503882E-2</v>
          </cell>
        </row>
        <row r="494">
          <cell r="A494" t="str">
            <v>Northland DHB</v>
          </cell>
          <cell r="B494">
            <v>225.52520712697421</v>
          </cell>
          <cell r="C494">
            <v>207.93424806805075</v>
          </cell>
          <cell r="D494">
            <v>-17.59095905892346</v>
          </cell>
          <cell r="F494">
            <v>89.302491765771663</v>
          </cell>
          <cell r="G494">
            <v>85.663512389801227</v>
          </cell>
          <cell r="H494">
            <v>-3.6389793759704361</v>
          </cell>
          <cell r="J494">
            <v>78.445510446685347</v>
          </cell>
          <cell r="K494">
            <v>74.129429995657887</v>
          </cell>
          <cell r="L494">
            <v>-4.3160804510274602</v>
          </cell>
          <cell r="N494">
            <v>53.988112312570863</v>
          </cell>
          <cell r="O494">
            <v>51.530759351988237</v>
          </cell>
          <cell r="P494">
            <v>-2.4573529605826252</v>
          </cell>
          <cell r="R494">
            <v>80.469714919833294</v>
          </cell>
          <cell r="S494">
            <v>78.628831143429153</v>
          </cell>
          <cell r="T494">
            <v>-1.8408837764041408</v>
          </cell>
          <cell r="V494">
            <v>101.20893693835524</v>
          </cell>
          <cell r="W494">
            <v>97.133563324985147</v>
          </cell>
          <cell r="X494">
            <v>-4.0753736133700897</v>
          </cell>
          <cell r="Y494">
            <v>5.999762477519055E-2</v>
          </cell>
          <cell r="Z494">
            <v>76.940817714522183</v>
          </cell>
          <cell r="AB494" t="str">
            <v>Northland DHB</v>
          </cell>
          <cell r="AC494">
            <v>216.79223748021693</v>
          </cell>
          <cell r="AD494">
            <v>203.13030894135565</v>
          </cell>
          <cell r="AE494">
            <v>-13.661928538861275</v>
          </cell>
          <cell r="AF494">
            <v>4.0282667628051883E-2</v>
          </cell>
          <cell r="AG494">
            <v>82.830420083223842</v>
          </cell>
          <cell r="AH494">
            <v>84.558836594933837</v>
          </cell>
          <cell r="AI494">
            <v>1.7284165117099946</v>
          </cell>
          <cell r="AJ494">
            <v>7.8136410222778174E-2</v>
          </cell>
          <cell r="AK494">
            <v>75.119051861845776</v>
          </cell>
          <cell r="AL494">
            <v>73.227058183820787</v>
          </cell>
          <cell r="AM494">
            <v>-1.8919936780249884</v>
          </cell>
          <cell r="AN494">
            <v>4.4282488961087774E-2</v>
          </cell>
          <cell r="AO494">
            <v>50.240689447837809</v>
          </cell>
          <cell r="AP494">
            <v>51.201874013391702</v>
          </cell>
          <cell r="AQ494">
            <v>0.96118456555389287</v>
          </cell>
          <cell r="AR494">
            <v>7.4589399666256551E-2</v>
          </cell>
          <cell r="AS494">
            <v>76.274687411373009</v>
          </cell>
          <cell r="AT494">
            <v>76.820390275379509</v>
          </cell>
          <cell r="AU494">
            <v>0.54570286400650048</v>
          </cell>
          <cell r="AV494">
            <v>5.4998947237046014E-2</v>
          </cell>
          <cell r="AW494">
            <v>95.480343137391586</v>
          </cell>
          <cell r="AX494">
            <v>95.535287867407163</v>
          </cell>
          <cell r="AY494">
            <v>5.4944730015577647E-2</v>
          </cell>
          <cell r="AZ494">
            <v>5.999762477519055E-2</v>
          </cell>
          <cell r="BA494">
            <v>73.148566620526708</v>
          </cell>
          <cell r="BB494">
            <v>5.1843136088620234E-2</v>
          </cell>
        </row>
        <row r="495">
          <cell r="A495" t="str">
            <v>Waitemata DHB</v>
          </cell>
          <cell r="B495">
            <v>207.61651382626812</v>
          </cell>
          <cell r="C495">
            <v>197.77597308296421</v>
          </cell>
          <cell r="D495">
            <v>-9.8405407433039045</v>
          </cell>
          <cell r="F495">
            <v>86.642730895753317</v>
          </cell>
          <cell r="G495">
            <v>82.338409998905888</v>
          </cell>
          <cell r="H495">
            <v>-4.3043208968474289</v>
          </cell>
          <cell r="J495">
            <v>77.565866870747655</v>
          </cell>
          <cell r="K495">
            <v>72.436884220801019</v>
          </cell>
          <cell r="L495">
            <v>-5.1289826499466358</v>
          </cell>
          <cell r="N495">
            <v>56.643553553201222</v>
          </cell>
          <cell r="O495">
            <v>49.747008272427927</v>
          </cell>
          <cell r="P495">
            <v>-6.8965452807732959</v>
          </cell>
          <cell r="R495">
            <v>83.613188672801471</v>
          </cell>
          <cell r="S495">
            <v>81.812101302223141</v>
          </cell>
          <cell r="T495">
            <v>-1.8010873705783297</v>
          </cell>
          <cell r="V495">
            <v>99.482676570027422</v>
          </cell>
          <cell r="W495">
            <v>94.182836110740794</v>
          </cell>
          <cell r="X495">
            <v>-5.2998404592866279</v>
          </cell>
          <cell r="Y495">
            <v>6.715919972071438E-2</v>
          </cell>
          <cell r="Z495">
            <v>76.777386883960872</v>
          </cell>
          <cell r="AB495" t="str">
            <v>Waitemata DHB</v>
          </cell>
          <cell r="AC495">
            <v>185.96236767169373</v>
          </cell>
          <cell r="AD495">
            <v>185.5293452040402</v>
          </cell>
          <cell r="AE495">
            <v>-0.43302246765352947</v>
          </cell>
          <cell r="AF495">
            <v>0.11644370001141091</v>
          </cell>
          <cell r="AG495">
            <v>82.321360424751873</v>
          </cell>
          <cell r="AH495">
            <v>80.330114559690571</v>
          </cell>
          <cell r="AI495">
            <v>-1.9912458650613019</v>
          </cell>
          <cell r="AJ495">
            <v>5.2493914686353005E-2</v>
          </cell>
          <cell r="AK495">
            <v>73.632618145632932</v>
          </cell>
          <cell r="AL495">
            <v>71.071342475845853</v>
          </cell>
          <cell r="AM495">
            <v>-2.5612756697870793</v>
          </cell>
          <cell r="AN495">
            <v>5.3417205909145116E-2</v>
          </cell>
          <cell r="AO495">
            <v>50.225445298612016</v>
          </cell>
          <cell r="AP495">
            <v>47.768469977841448</v>
          </cell>
          <cell r="AQ495">
            <v>-2.4569753207705674</v>
          </cell>
          <cell r="AR495">
            <v>0.12778599007795299</v>
          </cell>
          <cell r="AS495">
            <v>81.307662261648815</v>
          </cell>
          <cell r="AT495">
            <v>89.487538940809969</v>
          </cell>
          <cell r="AU495">
            <v>8.1798766791611541</v>
          </cell>
          <cell r="AV495">
            <v>2.8355586017630774E-2</v>
          </cell>
          <cell r="AW495">
            <v>93.221964066901151</v>
          </cell>
          <cell r="AX495">
            <v>92.302304738083834</v>
          </cell>
          <cell r="AY495">
            <v>-0.9196593288173176</v>
          </cell>
          <cell r="AZ495">
            <v>6.715919972071438E-2</v>
          </cell>
          <cell r="BA495">
            <v>73.050473382292722</v>
          </cell>
          <cell r="BB495">
            <v>5.1018334708992308E-2</v>
          </cell>
        </row>
        <row r="496">
          <cell r="A496" t="str">
            <v>Northern Region Total</v>
          </cell>
          <cell r="B496">
            <v>207.78339423371125</v>
          </cell>
          <cell r="C496">
            <v>200.46097801516316</v>
          </cell>
          <cell r="D496">
            <v>-7.322416218548085</v>
          </cell>
          <cell r="F496">
            <v>86.867580303235201</v>
          </cell>
          <cell r="G496">
            <v>86.369071281199453</v>
          </cell>
          <cell r="H496">
            <v>-0.49850902203574776</v>
          </cell>
          <cell r="J496">
            <v>78.991895402474057</v>
          </cell>
          <cell r="K496">
            <v>75.432969685831466</v>
          </cell>
          <cell r="L496">
            <v>-3.5589257166425909</v>
          </cell>
          <cell r="N496">
            <v>55.915265865012408</v>
          </cell>
          <cell r="O496">
            <v>52.24859311935144</v>
          </cell>
          <cell r="P496">
            <v>-3.6666727456609678</v>
          </cell>
          <cell r="R496">
            <v>84.089704762364178</v>
          </cell>
          <cell r="S496">
            <v>81.367733702922479</v>
          </cell>
          <cell r="T496">
            <v>-2.7219710594416995</v>
          </cell>
          <cell r="V496">
            <v>102.68232409863538</v>
          </cell>
          <cell r="W496">
            <v>100.10052242142247</v>
          </cell>
          <cell r="X496">
            <v>-2.5818016772129084</v>
          </cell>
          <cell r="Y496">
            <v>5.4277807990402049E-2</v>
          </cell>
          <cell r="Z496">
            <v>77.571012872582401</v>
          </cell>
          <cell r="AB496" t="str">
            <v>Northern Region Total</v>
          </cell>
          <cell r="AC496">
            <v>193.54873102676891</v>
          </cell>
          <cell r="AD496">
            <v>203.92202631041178</v>
          </cell>
          <cell r="AE496">
            <v>10.373295283642875</v>
          </cell>
          <cell r="AF496">
            <v>7.3545629214038177E-2</v>
          </cell>
          <cell r="AG496">
            <v>82.799741409372956</v>
          </cell>
          <cell r="AH496">
            <v>82.678603744092229</v>
          </cell>
          <cell r="AI496">
            <v>-0.12113766528072745</v>
          </cell>
          <cell r="AJ496">
            <v>4.9128642488752483E-2</v>
          </cell>
          <cell r="AK496">
            <v>75.761932984128237</v>
          </cell>
          <cell r="AL496">
            <v>74.220445792190674</v>
          </cell>
          <cell r="AM496">
            <v>-1.5414871919375628</v>
          </cell>
          <cell r="AN496">
            <v>4.2633051865538896E-2</v>
          </cell>
          <cell r="AO496">
            <v>51.929404356477349</v>
          </cell>
          <cell r="AP496">
            <v>50.407593538811902</v>
          </cell>
          <cell r="AQ496">
            <v>-1.5218108176654468</v>
          </cell>
          <cell r="AR496">
            <v>7.6755386623992505E-2</v>
          </cell>
          <cell r="AS496">
            <v>80.451733348928357</v>
          </cell>
          <cell r="AT496">
            <v>80.892026063890313</v>
          </cell>
          <cell r="AU496">
            <v>0.44029271496195577</v>
          </cell>
          <cell r="AV496">
            <v>4.5219304320734954E-2</v>
          </cell>
          <cell r="AW496">
            <v>97.395888750007884</v>
          </cell>
          <cell r="AX496">
            <v>97.715854944495064</v>
          </cell>
          <cell r="AY496">
            <v>0.31996619448717922</v>
          </cell>
          <cell r="AZ496">
            <v>5.4277807990402049E-2</v>
          </cell>
          <cell r="BA496">
            <v>74.135002270569473</v>
          </cell>
          <cell r="BB496">
            <v>4.6348020459655137E-2</v>
          </cell>
        </row>
        <row r="498">
          <cell r="A498" t="str">
            <v>Bay of Plenty DHB</v>
          </cell>
          <cell r="B498">
            <v>226.12617021618186</v>
          </cell>
          <cell r="C498">
            <v>217.32614555256066</v>
          </cell>
          <cell r="D498">
            <v>-8.8000246636212012</v>
          </cell>
          <cell r="F498">
            <v>85.229993274891484</v>
          </cell>
          <cell r="G498">
            <v>88.719198731281281</v>
          </cell>
          <cell r="H498">
            <v>3.4892054563897972</v>
          </cell>
          <cell r="J498">
            <v>77.350533651439605</v>
          </cell>
          <cell r="K498">
            <v>76.587172717231127</v>
          </cell>
          <cell r="L498">
            <v>-0.76336093420847817</v>
          </cell>
          <cell r="N498">
            <v>58.133437906045813</v>
          </cell>
          <cell r="O498">
            <v>53.537349206918805</v>
          </cell>
          <cell r="P498">
            <v>-4.5960886991270087</v>
          </cell>
          <cell r="R498">
            <v>72.30755551832813</v>
          </cell>
          <cell r="S498">
            <v>71.952117892366715</v>
          </cell>
          <cell r="T498">
            <v>-0.35543762596141448</v>
          </cell>
          <cell r="V498">
            <v>98.476127419119393</v>
          </cell>
          <cell r="W498">
            <v>99.194099017962287</v>
          </cell>
          <cell r="X498">
            <v>0.71797159884289385</v>
          </cell>
          <cell r="Y498">
            <v>2.2170497283023227E-2</v>
          </cell>
          <cell r="Z498">
            <v>73.087228023467659</v>
          </cell>
          <cell r="AB498" t="str">
            <v>Bay of Plenty DHB</v>
          </cell>
          <cell r="AC498">
            <v>218.09894614496525</v>
          </cell>
          <cell r="AD498">
            <v>212.80602636534837</v>
          </cell>
          <cell r="AE498">
            <v>-5.2929197796168808</v>
          </cell>
          <cell r="AF498">
            <v>3.6805423469956189E-2</v>
          </cell>
          <cell r="AG498">
            <v>83.438834768622471</v>
          </cell>
          <cell r="AH498">
            <v>83.326917468649739</v>
          </cell>
          <cell r="AI498">
            <v>-0.11191729997273114</v>
          </cell>
          <cell r="AJ498">
            <v>2.1466724831859629E-2</v>
          </cell>
          <cell r="AK498">
            <v>75.418970387223027</v>
          </cell>
          <cell r="AL498">
            <v>74.250812215724494</v>
          </cell>
          <cell r="AM498">
            <v>-1.1681581714985327</v>
          </cell>
          <cell r="AN498">
            <v>2.5611106254823879E-2</v>
          </cell>
          <cell r="AO498">
            <v>53.307782896664911</v>
          </cell>
          <cell r="AP498">
            <v>52.144444444444453</v>
          </cell>
          <cell r="AQ498">
            <v>-1.163338452220458</v>
          </cell>
          <cell r="AR498">
            <v>9.0524399011965073E-2</v>
          </cell>
          <cell r="AS498">
            <v>73.426939131842758</v>
          </cell>
          <cell r="AT498">
            <v>70.062390625144317</v>
          </cell>
          <cell r="AU498">
            <v>-3.3645485066984406</v>
          </cell>
          <cell r="AV498">
            <v>-1.5244862808521886E-2</v>
          </cell>
          <cell r="AW498">
            <v>96.340216902046691</v>
          </cell>
          <cell r="AX498">
            <v>95.144906077012422</v>
          </cell>
          <cell r="AY498">
            <v>-1.1953108250342694</v>
          </cell>
          <cell r="AZ498">
            <v>2.2170497283023227E-2</v>
          </cell>
          <cell r="BA498">
            <v>72.226884671367117</v>
          </cell>
          <cell r="BB498">
            <v>1.1911677431680978E-2</v>
          </cell>
        </row>
        <row r="499">
          <cell r="A499" t="str">
            <v>Lakes DHB</v>
          </cell>
          <cell r="B499">
            <v>216.48192771084339</v>
          </cell>
          <cell r="C499">
            <v>209.24498886414256</v>
          </cell>
          <cell r="D499">
            <v>-7.2369388467008378</v>
          </cell>
          <cell r="F499">
            <v>87.839628123184212</v>
          </cell>
          <cell r="G499">
            <v>86.626168224299079</v>
          </cell>
          <cell r="H499">
            <v>-1.2134598988851337</v>
          </cell>
          <cell r="J499">
            <v>77.665071770334933</v>
          </cell>
          <cell r="K499">
            <v>77.683563748079891</v>
          </cell>
          <cell r="L499">
            <v>1.8491977744957921E-2</v>
          </cell>
          <cell r="N499">
            <v>55.429602888086642</v>
          </cell>
          <cell r="O499">
            <v>52.576449912126542</v>
          </cell>
          <cell r="P499">
            <v>-2.8531529759601</v>
          </cell>
          <cell r="R499">
            <v>70.309446254071659</v>
          </cell>
          <cell r="S499">
            <v>69.52232691519869</v>
          </cell>
          <cell r="T499">
            <v>-0.78711933887296937</v>
          </cell>
          <cell r="V499">
            <v>100.05255573450876</v>
          </cell>
          <cell r="W499">
            <v>98.533165195460271</v>
          </cell>
          <cell r="X499">
            <v>-1.5193905390484872</v>
          </cell>
          <cell r="Y499">
            <v>4.7312857692286991E-2</v>
          </cell>
          <cell r="Z499">
            <v>71.452872623185456</v>
          </cell>
          <cell r="AB499" t="str">
            <v>Lakes DHB</v>
          </cell>
          <cell r="AC499">
            <v>204.37248934875231</v>
          </cell>
          <cell r="AD499">
            <v>203.52245594087549</v>
          </cell>
          <cell r="AE499">
            <v>-0.85003340787682191</v>
          </cell>
          <cell r="AF499">
            <v>5.9251802435243084E-2</v>
          </cell>
          <cell r="AG499">
            <v>83.88506215610353</v>
          </cell>
          <cell r="AH499">
            <v>82.763874667212775</v>
          </cell>
          <cell r="AI499">
            <v>-1.1211874888907545</v>
          </cell>
          <cell r="AJ499">
            <v>4.7142671954173876E-2</v>
          </cell>
          <cell r="AK499">
            <v>75.427624309392257</v>
          </cell>
          <cell r="AL499">
            <v>76.495939361126148</v>
          </cell>
          <cell r="AM499">
            <v>1.0683150517338902</v>
          </cell>
          <cell r="AN499">
            <v>2.9663501686928662E-2</v>
          </cell>
          <cell r="AO499">
            <v>51.389948006932407</v>
          </cell>
          <cell r="AP499">
            <v>52.302702702702703</v>
          </cell>
          <cell r="AQ499">
            <v>0.91275469577029611</v>
          </cell>
          <cell r="AR499">
            <v>7.8607880292256516E-2</v>
          </cell>
          <cell r="AS499">
            <v>69.630142919012556</v>
          </cell>
          <cell r="AT499">
            <v>69.422148209825139</v>
          </cell>
          <cell r="AU499">
            <v>-0.20799470918741747</v>
          </cell>
          <cell r="AV499">
            <v>9.7558802349322349E-3</v>
          </cell>
          <cell r="AW499">
            <v>95.532633825360122</v>
          </cell>
          <cell r="AX499">
            <v>96.033548838022014</v>
          </cell>
          <cell r="AY499">
            <v>0.50091501266189198</v>
          </cell>
          <cell r="AZ499">
            <v>4.7312857692286991E-2</v>
          </cell>
          <cell r="BA499">
            <v>69.623509369676313</v>
          </cell>
          <cell r="BB499">
            <v>2.6275079640066146E-2</v>
          </cell>
        </row>
        <row r="500">
          <cell r="A500" t="str">
            <v>Tairawhiti DHB</v>
          </cell>
          <cell r="B500">
            <v>295.31054977711739</v>
          </cell>
          <cell r="C500">
            <v>276.11581395348833</v>
          </cell>
          <cell r="D500">
            <v>-19.19473582362906</v>
          </cell>
          <cell r="F500">
            <v>90.302097902097898</v>
          </cell>
          <cell r="G500">
            <v>90.047912568306018</v>
          </cell>
          <cell r="H500">
            <v>-0.25418533379188091</v>
          </cell>
          <cell r="J500">
            <v>73.209368346344917</v>
          </cell>
          <cell r="K500">
            <v>76.640170940170947</v>
          </cell>
          <cell r="L500">
            <v>3.43080259382603</v>
          </cell>
          <cell r="N500">
            <v>56.92307692307692</v>
          </cell>
          <cell r="O500">
            <v>56.759103641456576</v>
          </cell>
          <cell r="P500">
            <v>-0.16397328162034341</v>
          </cell>
          <cell r="R500">
            <v>69.729230769230767</v>
          </cell>
          <cell r="S500">
            <v>68.653089402830517</v>
          </cell>
          <cell r="T500">
            <v>-1.0761413664002504</v>
          </cell>
          <cell r="V500">
            <v>100.96095380029807</v>
          </cell>
          <cell r="W500">
            <v>102.5256249013907</v>
          </cell>
          <cell r="X500">
            <v>1.5646711010926282</v>
          </cell>
          <cell r="Y500">
            <v>2.5520808114453342E-2</v>
          </cell>
          <cell r="Z500">
            <v>69.386213408876287</v>
          </cell>
          <cell r="AB500" t="str">
            <v>Tairawhiti DHB</v>
          </cell>
          <cell r="AC500">
            <v>291.79146919431275</v>
          </cell>
          <cell r="AD500">
            <v>265.47080701754385</v>
          </cell>
          <cell r="AE500">
            <v>-26.320662176768906</v>
          </cell>
          <cell r="AF500">
            <v>1.2060258624151832E-2</v>
          </cell>
          <cell r="AG500">
            <v>87.274362818590703</v>
          </cell>
          <cell r="AH500">
            <v>83.838206896551725</v>
          </cell>
          <cell r="AI500">
            <v>-3.4361559220389779</v>
          </cell>
          <cell r="AJ500">
            <v>3.4692147679160623E-2</v>
          </cell>
          <cell r="AK500">
            <v>70.404114621601749</v>
          </cell>
          <cell r="AL500">
            <v>73.488430107526881</v>
          </cell>
          <cell r="AM500">
            <v>3.0843154859251314</v>
          </cell>
          <cell r="AN500">
            <v>3.9845025249169774E-2</v>
          </cell>
          <cell r="AO500">
            <v>52.4</v>
          </cell>
          <cell r="AP500">
            <v>56.868148148148158</v>
          </cell>
          <cell r="AQ500">
            <v>4.4681481481481597</v>
          </cell>
          <cell r="AR500">
            <v>8.6318261890780956E-2</v>
          </cell>
          <cell r="AS500">
            <v>67.365653245686104</v>
          </cell>
          <cell r="AT500">
            <v>65.882193236714969</v>
          </cell>
          <cell r="AU500">
            <v>-1.4834600089711358</v>
          </cell>
          <cell r="AV500">
            <v>3.5085795352188809E-2</v>
          </cell>
          <cell r="AW500">
            <v>98.448469305978534</v>
          </cell>
          <cell r="AX500">
            <v>97.535506581866557</v>
          </cell>
          <cell r="AY500">
            <v>-0.91296272411197776</v>
          </cell>
          <cell r="AZ500">
            <v>2.5520808114453342E-2</v>
          </cell>
          <cell r="BA500">
            <v>66.939414567733138</v>
          </cell>
          <cell r="BB500">
            <v>3.6552438603527637E-2</v>
          </cell>
        </row>
        <row r="501">
          <cell r="A501" t="str">
            <v>Taranaki DHB</v>
          </cell>
          <cell r="B501">
            <v>230.29209924335743</v>
          </cell>
          <cell r="C501">
            <v>236.40488656195464</v>
          </cell>
          <cell r="D501">
            <v>6.1127873185972135</v>
          </cell>
          <cell r="F501">
            <v>87.04421327054925</v>
          </cell>
          <cell r="G501">
            <v>82.834838512168986</v>
          </cell>
          <cell r="H501">
            <v>-4.2093747583802639</v>
          </cell>
          <cell r="J501">
            <v>77.920967241567226</v>
          </cell>
          <cell r="K501">
            <v>75.772946859903385</v>
          </cell>
          <cell r="L501">
            <v>-2.1480203816638408</v>
          </cell>
          <cell r="N501">
            <v>56.520251486249521</v>
          </cell>
          <cell r="O501">
            <v>50.759075907590763</v>
          </cell>
          <cell r="P501">
            <v>-5.761175578658758</v>
          </cell>
          <cell r="R501">
            <v>75.595314195124971</v>
          </cell>
          <cell r="S501">
            <v>73.489666987900193</v>
          </cell>
          <cell r="T501">
            <v>-2.1056472072247772</v>
          </cell>
          <cell r="V501">
            <v>99.990879201539244</v>
          </cell>
          <cell r="W501">
            <v>96.689721170994815</v>
          </cell>
          <cell r="X501">
            <v>-3.3011580305444284</v>
          </cell>
          <cell r="Y501">
            <v>5.3034611922506247E-2</v>
          </cell>
          <cell r="Z501">
            <v>73.566284430549615</v>
          </cell>
          <cell r="AB501" t="str">
            <v>Taranaki DHB</v>
          </cell>
          <cell r="AC501">
            <v>229.93474406849984</v>
          </cell>
          <cell r="AD501">
            <v>223.95944604921343</v>
          </cell>
          <cell r="AE501">
            <v>-5.9752980192864129</v>
          </cell>
          <cell r="AF501">
            <v>1.5541590998144894E-3</v>
          </cell>
          <cell r="AG501">
            <v>82.777735497082332</v>
          </cell>
          <cell r="AH501">
            <v>79.060753367454026</v>
          </cell>
          <cell r="AI501">
            <v>-3.7169821296283061</v>
          </cell>
          <cell r="AJ501">
            <v>5.1541368555767075E-2</v>
          </cell>
          <cell r="AK501">
            <v>75.467895916773713</v>
          </cell>
          <cell r="AL501">
            <v>71.590153027278774</v>
          </cell>
          <cell r="AM501">
            <v>-3.8777428894949395</v>
          </cell>
          <cell r="AN501">
            <v>3.2504832617816337E-2</v>
          </cell>
          <cell r="AO501">
            <v>50.097734340293215</v>
          </cell>
          <cell r="AP501">
            <v>48.99050491893189</v>
          </cell>
          <cell r="AQ501">
            <v>-1.1072294213613247</v>
          </cell>
          <cell r="AR501">
            <v>0.12819975255429328</v>
          </cell>
          <cell r="AS501">
            <v>72.659777946286098</v>
          </cell>
          <cell r="AT501">
            <v>71.0605103516844</v>
          </cell>
          <cell r="AU501">
            <v>-1.5992675946016988</v>
          </cell>
          <cell r="AV501">
            <v>4.0401117809759635E-2</v>
          </cell>
          <cell r="AW501">
            <v>94.954978753250771</v>
          </cell>
          <cell r="AX501">
            <v>91.193007553430107</v>
          </cell>
          <cell r="AY501">
            <v>-3.761971199820664</v>
          </cell>
          <cell r="AZ501">
            <v>5.3034611922506247E-2</v>
          </cell>
          <cell r="BA501">
            <v>70.36313531825958</v>
          </cell>
          <cell r="BB501">
            <v>4.5523115162533045E-2</v>
          </cell>
        </row>
        <row r="502">
          <cell r="A502" t="str">
            <v>Waikato DHB</v>
          </cell>
          <cell r="B502">
            <v>224.99512661393939</v>
          </cell>
          <cell r="C502">
            <v>230.90235430335827</v>
          </cell>
          <cell r="D502">
            <v>5.9072276894188747</v>
          </cell>
          <cell r="F502">
            <v>83.50001410519485</v>
          </cell>
          <cell r="G502">
            <v>81.346717593930762</v>
          </cell>
          <cell r="H502">
            <v>-2.1532965112640881</v>
          </cell>
          <cell r="J502">
            <v>74.982156296402437</v>
          </cell>
          <cell r="K502">
            <v>74.35049828900803</v>
          </cell>
          <cell r="L502">
            <v>-0.6316580073944067</v>
          </cell>
          <cell r="N502">
            <v>49.98909146983079</v>
          </cell>
          <cell r="O502">
            <v>50.127313263727316</v>
          </cell>
          <cell r="P502">
            <v>0.13822179389652689</v>
          </cell>
          <cell r="R502">
            <v>78.089209375897326</v>
          </cell>
          <cell r="S502">
            <v>74.192356301875449</v>
          </cell>
          <cell r="T502">
            <v>-3.8968530740218768</v>
          </cell>
          <cell r="V502">
            <v>97.884114707201817</v>
          </cell>
          <cell r="W502">
            <v>96.700119939375924</v>
          </cell>
          <cell r="X502">
            <v>-1.1839947678258937</v>
          </cell>
          <cell r="Y502">
            <v>3.4244324408055693E-2</v>
          </cell>
          <cell r="Z502">
            <v>72.970134905592516</v>
          </cell>
          <cell r="AB502" t="str">
            <v>Waikato DHB</v>
          </cell>
          <cell r="AC502">
            <v>212.85962505583214</v>
          </cell>
          <cell r="AD502">
            <v>224.08314977973569</v>
          </cell>
          <cell r="AE502">
            <v>11.223524723903552</v>
          </cell>
          <cell r="AF502">
            <v>5.7011758594069484E-2</v>
          </cell>
          <cell r="AG502">
            <v>83.502636353844437</v>
          </cell>
          <cell r="AH502">
            <v>80.119894162394587</v>
          </cell>
          <cell r="AI502">
            <v>-3.3827421914498501</v>
          </cell>
          <cell r="AJ502">
            <v>-3.1403183948341962E-5</v>
          </cell>
          <cell r="AK502">
            <v>72.135219891393305</v>
          </cell>
          <cell r="AL502">
            <v>72.077937893241312</v>
          </cell>
          <cell r="AM502">
            <v>-5.7281998151992752E-2</v>
          </cell>
          <cell r="AN502">
            <v>3.9466662876961767E-2</v>
          </cell>
          <cell r="AO502">
            <v>48.02386630578706</v>
          </cell>
          <cell r="AP502">
            <v>48.529080675422144</v>
          </cell>
          <cell r="AQ502">
            <v>0.50521436963508393</v>
          </cell>
          <cell r="AR502">
            <v>4.0921843975042727E-2</v>
          </cell>
          <cell r="AS502">
            <v>71.146271744111345</v>
          </cell>
          <cell r="AT502">
            <v>71.696609161213559</v>
          </cell>
          <cell r="AU502">
            <v>0.55033741710221307</v>
          </cell>
          <cell r="AV502">
            <v>9.75868090004397E-2</v>
          </cell>
          <cell r="AW502">
            <v>94.643124837281832</v>
          </cell>
          <cell r="AX502">
            <v>94.417732185381936</v>
          </cell>
          <cell r="AY502">
            <v>-0.22539265189989521</v>
          </cell>
          <cell r="AZ502">
            <v>3.4244324408055693E-2</v>
          </cell>
          <cell r="BA502">
            <v>68.422752371182924</v>
          </cell>
          <cell r="BB502">
            <v>6.6460093708898826E-2</v>
          </cell>
        </row>
        <row r="503">
          <cell r="A503" t="str">
            <v>Midland Region Total</v>
          </cell>
          <cell r="B503">
            <v>228.00345695257184</v>
          </cell>
          <cell r="C503">
            <v>228.31982598532585</v>
          </cell>
          <cell r="D503">
            <v>0.31636903275401096</v>
          </cell>
          <cell r="F503">
            <v>85.069330732188448</v>
          </cell>
          <cell r="G503">
            <v>84.053830599310345</v>
          </cell>
          <cell r="H503">
            <v>-1.0155001328781026</v>
          </cell>
          <cell r="J503">
            <v>75.965768217942255</v>
          </cell>
          <cell r="K503">
            <v>75.474842506929662</v>
          </cell>
          <cell r="L503">
            <v>-0.49092571101259352</v>
          </cell>
          <cell r="N503">
            <v>53.391300621467295</v>
          </cell>
          <cell r="O503">
            <v>51.487618475166656</v>
          </cell>
          <cell r="P503">
            <v>-1.903682146300639</v>
          </cell>
          <cell r="R503">
            <v>75.069915801404449</v>
          </cell>
          <cell r="S503">
            <v>72.785861376268926</v>
          </cell>
          <cell r="T503">
            <v>-2.2840544251355226</v>
          </cell>
          <cell r="V503">
            <v>98.660642796337441</v>
          </cell>
          <cell r="W503">
            <v>97.746940954464762</v>
          </cell>
          <cell r="X503">
            <v>-0.91370184187267967</v>
          </cell>
          <cell r="Y503">
            <v>3.4541964281995741E-2</v>
          </cell>
          <cell r="Z503">
            <v>72.681190647819022</v>
          </cell>
          <cell r="AB503" t="str">
            <v>Midland Region Total</v>
          </cell>
          <cell r="AC503">
            <v>218.44484186218975</v>
          </cell>
          <cell r="AD503">
            <v>221.04470728679408</v>
          </cell>
          <cell r="AE503">
            <v>2.5998654246043316</v>
          </cell>
          <cell r="AF503">
            <v>4.3757568312884798E-2</v>
          </cell>
          <cell r="AG503">
            <v>83.652885812864071</v>
          </cell>
          <cell r="AH503">
            <v>81.164023775509932</v>
          </cell>
          <cell r="AI503">
            <v>-2.4888620373541386</v>
          </cell>
          <cell r="AJ503">
            <v>1.6932409510570068E-2</v>
          </cell>
          <cell r="AK503">
            <v>73.458623975788825</v>
          </cell>
          <cell r="AL503">
            <v>73.006901735616793</v>
          </cell>
          <cell r="AM503">
            <v>-0.45172224017203177</v>
          </cell>
          <cell r="AN503">
            <v>3.4130019138117307E-2</v>
          </cell>
          <cell r="AO503">
            <v>49.840278156037456</v>
          </cell>
          <cell r="AP503">
            <v>49.840246055587691</v>
          </cell>
          <cell r="AQ503">
            <v>-3.2100449764982386E-5</v>
          </cell>
          <cell r="AR503">
            <v>7.1248046696538836E-2</v>
          </cell>
          <cell r="AS503">
            <v>71.441336735430241</v>
          </cell>
          <cell r="AT503">
            <v>70.659487395531471</v>
          </cell>
          <cell r="AU503">
            <v>-0.78184933989876981</v>
          </cell>
          <cell r="AV503">
            <v>5.0791029840496771E-2</v>
          </cell>
          <cell r="AW503">
            <v>95.366496674507545</v>
          </cell>
          <cell r="AX503">
            <v>94.523663595945095</v>
          </cell>
          <cell r="AY503">
            <v>-0.8428330785624496</v>
          </cell>
          <cell r="AZ503">
            <v>3.4541964281995741E-2</v>
          </cell>
          <cell r="BA503">
            <v>69.514876651741474</v>
          </cell>
          <cell r="BB503">
            <v>4.5548724943299312E-2</v>
          </cell>
        </row>
        <row r="505">
          <cell r="A505" t="str">
            <v>Capital &amp; Coast DHB</v>
          </cell>
          <cell r="B505">
            <v>171.72608555221026</v>
          </cell>
          <cell r="C505">
            <v>170.47979631588174</v>
          </cell>
          <cell r="D505">
            <v>-1.2462892363285221</v>
          </cell>
          <cell r="F505">
            <v>84.655802002002773</v>
          </cell>
          <cell r="G505">
            <v>82.944074343556181</v>
          </cell>
          <cell r="H505">
            <v>-1.7117276584465912</v>
          </cell>
          <cell r="J505">
            <v>79.193427912718391</v>
          </cell>
          <cell r="K505">
            <v>79.858498595309911</v>
          </cell>
          <cell r="L505">
            <v>0.66507068259151936</v>
          </cell>
          <cell r="N505">
            <v>59.092808158067157</v>
          </cell>
          <cell r="O505">
            <v>55.425473621669376</v>
          </cell>
          <cell r="P505">
            <v>-3.6673345363977816</v>
          </cell>
          <cell r="R505">
            <v>72.272096692808745</v>
          </cell>
          <cell r="S505">
            <v>76.671602178169195</v>
          </cell>
          <cell r="T505">
            <v>4.3995054853604501</v>
          </cell>
          <cell r="V505">
            <v>97.372214444497118</v>
          </cell>
          <cell r="W505">
            <v>96.825731846531255</v>
          </cell>
          <cell r="X505">
            <v>-0.54648259796586274</v>
          </cell>
          <cell r="Y505">
            <v>2.821169215565833E-2</v>
          </cell>
          <cell r="Z505">
            <v>74.057596543412203</v>
          </cell>
          <cell r="AB505" t="str">
            <v>Capital &amp; Coast DHB</v>
          </cell>
          <cell r="AC505">
            <v>169.52758247161637</v>
          </cell>
          <cell r="AD505">
            <v>173.7419346390991</v>
          </cell>
          <cell r="AE505">
            <v>4.2143521674827298</v>
          </cell>
          <cell r="AF505">
            <v>1.2968409320424312E-2</v>
          </cell>
          <cell r="AG505">
            <v>81.800497478631115</v>
          </cell>
          <cell r="AH505">
            <v>81.876340094351406</v>
          </cell>
          <cell r="AI505">
            <v>7.5842615720290496E-2</v>
          </cell>
          <cell r="AJ505">
            <v>3.4905710984429517E-2</v>
          </cell>
          <cell r="AK505">
            <v>78.552500189151218</v>
          </cell>
          <cell r="AL505">
            <v>79.012901073811818</v>
          </cell>
          <cell r="AM505">
            <v>0.4604008846606007</v>
          </cell>
          <cell r="AN505">
            <v>8.1592275487585297E-3</v>
          </cell>
          <cell r="AO505">
            <v>54.365299054945083</v>
          </cell>
          <cell r="AP505">
            <v>53.628606746708904</v>
          </cell>
          <cell r="AQ505">
            <v>-0.73669230823617937</v>
          </cell>
          <cell r="AR505">
            <v>8.6958210205817954E-2</v>
          </cell>
          <cell r="AS505">
            <v>70.765908304768388</v>
          </cell>
          <cell r="AT505">
            <v>72.592655310386249</v>
          </cell>
          <cell r="AU505">
            <v>1.826747005617861</v>
          </cell>
          <cell r="AV505">
            <v>2.128409603044501E-2</v>
          </cell>
          <cell r="AW505">
            <v>94.700551634804981</v>
          </cell>
          <cell r="AX505">
            <v>95.180939345482315</v>
          </cell>
          <cell r="AY505">
            <v>0.48038771067733421</v>
          </cell>
          <cell r="AZ505">
            <v>2.821169215565833E-2</v>
          </cell>
          <cell r="BA505">
            <v>72.599333064910525</v>
          </cell>
          <cell r="BB505">
            <v>2.0086458331481483E-2</v>
          </cell>
        </row>
        <row r="506">
          <cell r="A506" t="str">
            <v>Hawke's Bay DHB</v>
          </cell>
          <cell r="B506">
            <v>179.95478659349479</v>
          </cell>
          <cell r="C506">
            <v>178.01349035650242</v>
          </cell>
          <cell r="D506">
            <v>-1.9412962369923719</v>
          </cell>
          <cell r="F506">
            <v>85.229292966104182</v>
          </cell>
          <cell r="G506">
            <v>84.151665994196492</v>
          </cell>
          <cell r="H506">
            <v>-1.0776269719076907</v>
          </cell>
          <cell r="J506">
            <v>76.47249607458879</v>
          </cell>
          <cell r="K506">
            <v>76.144869594413095</v>
          </cell>
          <cell r="L506">
            <v>-0.32762648017569518</v>
          </cell>
          <cell r="N506">
            <v>54.22034765895954</v>
          </cell>
          <cell r="O506">
            <v>52.954306386210042</v>
          </cell>
          <cell r="P506">
            <v>-1.2660412727494972</v>
          </cell>
          <cell r="R506">
            <v>73.955486137203508</v>
          </cell>
          <cell r="S506">
            <v>74.111924351317938</v>
          </cell>
          <cell r="T506">
            <v>0.15643821411443071</v>
          </cell>
          <cell r="V506">
            <v>93.02501735028396</v>
          </cell>
          <cell r="W506">
            <v>93.067587538347823</v>
          </cell>
          <cell r="X506">
            <v>4.2570188063862702E-2</v>
          </cell>
          <cell r="Y506">
            <v>5.3441182561771772E-2</v>
          </cell>
          <cell r="Z506">
            <v>72.180732104283337</v>
          </cell>
          <cell r="AB506" t="str">
            <v>Hawke’s Bay DHB</v>
          </cell>
          <cell r="AC506">
            <v>163.39741838115734</v>
          </cell>
          <cell r="AD506">
            <v>181.70903466863828</v>
          </cell>
          <cell r="AE506">
            <v>18.311616287480945</v>
          </cell>
          <cell r="AF506">
            <v>0.1013318837982744</v>
          </cell>
          <cell r="AG506">
            <v>81.34593937974067</v>
          </cell>
          <cell r="AH506">
            <v>84.4842725738295</v>
          </cell>
          <cell r="AI506">
            <v>3.1383331940888297</v>
          </cell>
          <cell r="AJ506">
            <v>4.7738751509588839E-2</v>
          </cell>
          <cell r="AK506">
            <v>74.432498534376094</v>
          </cell>
          <cell r="AL506">
            <v>77.564723198543504</v>
          </cell>
          <cell r="AM506">
            <v>3.1322246641674099</v>
          </cell>
          <cell r="AN506">
            <v>2.7407350020240751E-2</v>
          </cell>
          <cell r="AO506">
            <v>49.831439236573466</v>
          </cell>
          <cell r="AP506">
            <v>54.644491666666653</v>
          </cell>
          <cell r="AQ506">
            <v>4.8130524300931867</v>
          </cell>
          <cell r="AR506">
            <v>8.8075088530954249E-2</v>
          </cell>
          <cell r="AS506">
            <v>71.31082122120398</v>
          </cell>
          <cell r="AT506">
            <v>71.355813191254825</v>
          </cell>
          <cell r="AU506">
            <v>4.4991970050844543E-2</v>
          </cell>
          <cell r="AV506">
            <v>3.7086445937789092E-2</v>
          </cell>
          <cell r="AW506">
            <v>88.305848385445245</v>
          </cell>
          <cell r="AX506">
            <v>92.88919532083996</v>
          </cell>
          <cell r="AY506">
            <v>4.5833469353947152</v>
          </cell>
          <cell r="AZ506">
            <v>5.3441182561771772E-2</v>
          </cell>
          <cell r="BA506">
            <v>69.512749735959815</v>
          </cell>
          <cell r="BB506">
            <v>3.8381194506873939E-2</v>
          </cell>
        </row>
        <row r="507">
          <cell r="A507" t="str">
            <v>Hutt Valley DHB</v>
          </cell>
          <cell r="B507">
            <v>201.07096972899899</v>
          </cell>
          <cell r="C507">
            <v>204.39994371629714</v>
          </cell>
          <cell r="D507">
            <v>3.3289739872981556</v>
          </cell>
          <cell r="F507">
            <v>88.57586605203447</v>
          </cell>
          <cell r="G507">
            <v>86.674497360265121</v>
          </cell>
          <cell r="H507">
            <v>-1.9013686917693491</v>
          </cell>
          <cell r="J507">
            <v>77.820228786002545</v>
          </cell>
          <cell r="K507">
            <v>75.02355081212383</v>
          </cell>
          <cell r="L507">
            <v>-2.7966779738787153</v>
          </cell>
          <cell r="N507">
            <v>54.01268285849838</v>
          </cell>
          <cell r="O507">
            <v>51.254792981960101</v>
          </cell>
          <cell r="P507">
            <v>-2.7578898765382789</v>
          </cell>
          <cell r="R507">
            <v>74.12800045840585</v>
          </cell>
          <cell r="S507">
            <v>75.16499602608026</v>
          </cell>
          <cell r="T507">
            <v>1.0369955676744098</v>
          </cell>
          <cell r="V507">
            <v>97.310744579987542</v>
          </cell>
          <cell r="W507">
            <v>96.039770413049666</v>
          </cell>
          <cell r="X507">
            <v>-1.2709741669378758</v>
          </cell>
          <cell r="Y507">
            <v>4.218778603734763E-2</v>
          </cell>
          <cell r="Z507">
            <v>72.649075383154241</v>
          </cell>
          <cell r="AB507" t="str">
            <v>Hutt Valley DHB</v>
          </cell>
          <cell r="AC507">
            <v>204.39693595994387</v>
          </cell>
          <cell r="AD507">
            <v>210.3765414026912</v>
          </cell>
          <cell r="AE507">
            <v>5.979605442747328</v>
          </cell>
          <cell r="AF507">
            <v>-1.6272094370322066E-2</v>
          </cell>
          <cell r="AG507">
            <v>83.085235179866004</v>
          </cell>
          <cell r="AH507">
            <v>83.426466460907292</v>
          </cell>
          <cell r="AI507">
            <v>0.34123128104128853</v>
          </cell>
          <cell r="AJ507">
            <v>6.6084315224987256E-2</v>
          </cell>
          <cell r="AK507">
            <v>72.899626598935441</v>
          </cell>
          <cell r="AL507">
            <v>72.617128144403637</v>
          </cell>
          <cell r="AM507">
            <v>-0.28249845453180455</v>
          </cell>
          <cell r="AN507">
            <v>6.7498318120863487E-2</v>
          </cell>
          <cell r="AO507">
            <v>53.391313163501827</v>
          </cell>
          <cell r="AP507">
            <v>51.15286941266961</v>
          </cell>
          <cell r="AQ507">
            <v>-2.2384437508322179</v>
          </cell>
          <cell r="AR507">
            <v>1.1638029825071339E-2</v>
          </cell>
          <cell r="AS507">
            <v>71.547302515319103</v>
          </cell>
          <cell r="AT507">
            <v>71.758418656777039</v>
          </cell>
          <cell r="AU507">
            <v>0.21111614145793567</v>
          </cell>
          <cell r="AV507">
            <v>3.6069814687062385E-2</v>
          </cell>
          <cell r="AW507">
            <v>93.371603355655068</v>
          </cell>
          <cell r="AX507">
            <v>93.317950251715985</v>
          </cell>
          <cell r="AY507">
            <v>-5.3653103939083735E-2</v>
          </cell>
          <cell r="AZ507">
            <v>4.218778603734763E-2</v>
          </cell>
          <cell r="BA507">
            <v>69.381815542152168</v>
          </cell>
          <cell r="BB507">
            <v>4.7091011030362617E-2</v>
          </cell>
        </row>
        <row r="508">
          <cell r="A508" t="str">
            <v>MidCentral DHB</v>
          </cell>
          <cell r="B508">
            <v>210.0099020251489</v>
          </cell>
          <cell r="C508">
            <v>201.62246961100212</v>
          </cell>
          <cell r="D508">
            <v>-8.3874324141467866</v>
          </cell>
          <cell r="F508">
            <v>86.404476130736228</v>
          </cell>
          <cell r="G508">
            <v>85.906034770247544</v>
          </cell>
          <cell r="H508">
            <v>-0.49844136048868393</v>
          </cell>
          <cell r="J508">
            <v>80.409206892039265</v>
          </cell>
          <cell r="K508">
            <v>82.371555959567303</v>
          </cell>
          <cell r="L508">
            <v>1.9623490675280379</v>
          </cell>
          <cell r="N508">
            <v>49.505003439803438</v>
          </cell>
          <cell r="O508">
            <v>51.116665368097436</v>
          </cell>
          <cell r="P508">
            <v>1.6116619282939979</v>
          </cell>
          <cell r="R508">
            <v>66.675332374653294</v>
          </cell>
          <cell r="S508">
            <v>63.552773903370266</v>
          </cell>
          <cell r="T508">
            <v>-3.1225584712830283</v>
          </cell>
          <cell r="V508">
            <v>98.09803979876385</v>
          </cell>
          <cell r="W508">
            <v>97.296543796129882</v>
          </cell>
          <cell r="X508">
            <v>-0.80149600263396792</v>
          </cell>
          <cell r="Y508">
            <v>4.3984997599768372E-2</v>
          </cell>
          <cell r="Z508">
            <v>71.627115968956844</v>
          </cell>
          <cell r="AB508" t="str">
            <v>MidCentral DHB</v>
          </cell>
          <cell r="AC508">
            <v>204.5576466018114</v>
          </cell>
          <cell r="AD508">
            <v>198.22243106780877</v>
          </cell>
          <cell r="AE508">
            <v>-6.3352155340026286</v>
          </cell>
          <cell r="AF508">
            <v>2.6653882237659854E-2</v>
          </cell>
          <cell r="AG508">
            <v>82.769116879209705</v>
          </cell>
          <cell r="AH508">
            <v>82.557658457010618</v>
          </cell>
          <cell r="AI508">
            <v>-0.21145842219908673</v>
          </cell>
          <cell r="AJ508">
            <v>4.3921687080844762E-2</v>
          </cell>
          <cell r="AK508">
            <v>74.491523653217016</v>
          </cell>
          <cell r="AL508">
            <v>74.067335852474102</v>
          </cell>
          <cell r="AM508">
            <v>-0.42418780074291362</v>
          </cell>
          <cell r="AN508">
            <v>7.9441028302374983E-2</v>
          </cell>
          <cell r="AO508">
            <v>47.176994554455455</v>
          </cell>
          <cell r="AP508">
            <v>42.372089625433333</v>
          </cell>
          <cell r="AQ508">
            <v>-4.804904929022122</v>
          </cell>
          <cell r="AR508">
            <v>4.9346273694073739E-2</v>
          </cell>
          <cell r="AS508">
            <v>62.633560906642728</v>
          </cell>
          <cell r="AT508">
            <v>63.051014499266493</v>
          </cell>
          <cell r="AU508">
            <v>0.41745359262376525</v>
          </cell>
          <cell r="AV508">
            <v>6.4530443575369301E-2</v>
          </cell>
          <cell r="AW508">
            <v>93.964989941715245</v>
          </cell>
          <cell r="AX508">
            <v>93.010302509598816</v>
          </cell>
          <cell r="AY508">
            <v>-0.95468743211642959</v>
          </cell>
          <cell r="AZ508">
            <v>4.3984997599768372E-2</v>
          </cell>
          <cell r="BA508">
            <v>67.001590286116326</v>
          </cell>
          <cell r="BB508">
            <v>6.9036058145607759E-2</v>
          </cell>
        </row>
        <row r="509">
          <cell r="A509" t="str">
            <v>Wairarapa DHB</v>
          </cell>
          <cell r="B509">
            <v>272.41602371430474</v>
          </cell>
          <cell r="C509">
            <v>249.27186567329008</v>
          </cell>
          <cell r="D509">
            <v>-23.144158041014663</v>
          </cell>
          <cell r="F509">
            <v>89.21134368821869</v>
          </cell>
          <cell r="G509">
            <v>88.270209390483188</v>
          </cell>
          <cell r="H509">
            <v>-0.94113429773550195</v>
          </cell>
          <cell r="J509">
            <v>81.699970798517469</v>
          </cell>
          <cell r="K509">
            <v>78.656234253922307</v>
          </cell>
          <cell r="L509">
            <v>-3.0437365445951627</v>
          </cell>
          <cell r="N509">
            <v>64.994547473546206</v>
          </cell>
          <cell r="O509">
            <v>62.787686225458465</v>
          </cell>
          <cell r="P509">
            <v>-2.2068612480877405</v>
          </cell>
          <cell r="R509">
            <v>73.563505292037618</v>
          </cell>
          <cell r="S509">
            <v>70.155636931355772</v>
          </cell>
          <cell r="T509">
            <v>-3.4078683606818458</v>
          </cell>
          <cell r="V509">
            <v>100.50135740968012</v>
          </cell>
          <cell r="W509">
            <v>97.823275158538195</v>
          </cell>
          <cell r="X509">
            <v>-2.6780822511419302</v>
          </cell>
          <cell r="Y509">
            <v>7.1891026257346891E-2</v>
          </cell>
          <cell r="Z509">
            <v>75.851044776453122</v>
          </cell>
          <cell r="AB509" t="str">
            <v>Wairarapa DHB</v>
          </cell>
          <cell r="AC509">
            <v>261.99177598218154</v>
          </cell>
          <cell r="AD509">
            <v>248.72454461486268</v>
          </cell>
          <cell r="AE509">
            <v>-13.267231367318857</v>
          </cell>
          <cell r="AF509">
            <v>3.9788454019381803E-2</v>
          </cell>
          <cell r="AG509">
            <v>83.276729419290078</v>
          </cell>
          <cell r="AH509">
            <v>83.666735748038505</v>
          </cell>
          <cell r="AI509">
            <v>0.39000632874842722</v>
          </cell>
          <cell r="AJ509">
            <v>7.1263776931589362E-2</v>
          </cell>
          <cell r="AK509">
            <v>75.390122803952764</v>
          </cell>
          <cell r="AL509">
            <v>76.114726689546259</v>
          </cell>
          <cell r="AM509">
            <v>0.72460388559349553</v>
          </cell>
          <cell r="AN509">
            <v>8.3695950608451364E-2</v>
          </cell>
          <cell r="AO509">
            <v>58.308490742659522</v>
          </cell>
          <cell r="AP509">
            <v>56.804627262205599</v>
          </cell>
          <cell r="AQ509">
            <v>-1.5038634804539228</v>
          </cell>
          <cell r="AR509">
            <v>0.11466694894222407</v>
          </cell>
          <cell r="AS509">
            <v>63.855143905404844</v>
          </cell>
          <cell r="AT509">
            <v>69.150087186109289</v>
          </cell>
          <cell r="AU509">
            <v>5.2949432807044445</v>
          </cell>
          <cell r="AV509">
            <v>0.15203726423379083</v>
          </cell>
          <cell r="AW509">
            <v>93.760797457736231</v>
          </cell>
          <cell r="AX509">
            <v>95.368939565450447</v>
          </cell>
          <cell r="AY509">
            <v>1.6081421077142153</v>
          </cell>
          <cell r="AZ509">
            <v>7.1891026257346891E-2</v>
          </cell>
          <cell r="BA509">
            <v>67.644609109087696</v>
          </cell>
          <cell r="BB509">
            <v>0.12131692052697418</v>
          </cell>
        </row>
        <row r="510">
          <cell r="A510" t="str">
            <v>Whanganui DHB</v>
          </cell>
          <cell r="B510">
            <v>225.86336588033447</v>
          </cell>
          <cell r="C510">
            <v>222.35413637178547</v>
          </cell>
          <cell r="D510">
            <v>-3.509229508548998</v>
          </cell>
          <cell r="F510">
            <v>86.588423924763049</v>
          </cell>
          <cell r="G510">
            <v>87.35340946054707</v>
          </cell>
          <cell r="H510">
            <v>0.76498553578402095</v>
          </cell>
          <cell r="J510">
            <v>78.871533564395008</v>
          </cell>
          <cell r="K510">
            <v>78.565443731714311</v>
          </cell>
          <cell r="L510">
            <v>-0.30608983268069778</v>
          </cell>
          <cell r="N510">
            <v>54.139110134376281</v>
          </cell>
          <cell r="O510">
            <v>49.940844874382371</v>
          </cell>
          <cell r="P510">
            <v>-4.1982652599939101</v>
          </cell>
          <cell r="R510">
            <v>71.155097889351296</v>
          </cell>
          <cell r="S510">
            <v>71.075663466967825</v>
          </cell>
          <cell r="T510">
            <v>-7.9434422383471315E-2</v>
          </cell>
          <cell r="V510">
            <v>97.320057055812086</v>
          </cell>
          <cell r="W510">
            <v>98.040916510777365</v>
          </cell>
          <cell r="X510">
            <v>0.7208594549652787</v>
          </cell>
          <cell r="Y510">
            <v>5.148825614716479E-2</v>
          </cell>
          <cell r="Z510">
            <v>73.699566259940056</v>
          </cell>
          <cell r="AB510" t="str">
            <v>Whanganui DHB</v>
          </cell>
          <cell r="AC510">
            <v>222.07315749584473</v>
          </cell>
          <cell r="AD510">
            <v>224.08298882589671</v>
          </cell>
          <cell r="AE510">
            <v>2.0098313300519806</v>
          </cell>
          <cell r="AF510">
            <v>1.7067386383969652E-2</v>
          </cell>
          <cell r="AG510">
            <v>82.067321529758189</v>
          </cell>
          <cell r="AH510">
            <v>82.962465009532181</v>
          </cell>
          <cell r="AI510">
            <v>0.89514347977399211</v>
          </cell>
          <cell r="AJ510">
            <v>5.509016635038444E-2</v>
          </cell>
          <cell r="AK510">
            <v>75.730122577630695</v>
          </cell>
          <cell r="AL510">
            <v>74.449038396602276</v>
          </cell>
          <cell r="AM510">
            <v>-1.2810841810284188</v>
          </cell>
          <cell r="AN510">
            <v>4.1481657230173719E-2</v>
          </cell>
          <cell r="AO510">
            <v>47.695179571457913</v>
          </cell>
          <cell r="AP510">
            <v>50.16959150567763</v>
          </cell>
          <cell r="AQ510">
            <v>2.4744119342197166</v>
          </cell>
          <cell r="AR510">
            <v>0.13510653740728529</v>
          </cell>
          <cell r="AS510">
            <v>66.710117424207311</v>
          </cell>
          <cell r="AT510">
            <v>67.604099199167081</v>
          </cell>
          <cell r="AU510">
            <v>0.89398177495976938</v>
          </cell>
          <cell r="AV510">
            <v>6.6631279283748013E-2</v>
          </cell>
          <cell r="AW510">
            <v>92.554582979756375</v>
          </cell>
          <cell r="AX510">
            <v>94.125959928218251</v>
          </cell>
          <cell r="AY510">
            <v>1.5713769484618751</v>
          </cell>
          <cell r="AZ510">
            <v>5.148825614716479E-2</v>
          </cell>
          <cell r="BA510">
            <v>69.667076126793063</v>
          </cell>
          <cell r="BB510">
            <v>5.7882293291710907E-2</v>
          </cell>
        </row>
        <row r="511">
          <cell r="A511" t="str">
            <v>Central Region Total</v>
          </cell>
          <cell r="B511">
            <v>188.1041414170403</v>
          </cell>
          <cell r="C511">
            <v>185.94026763876053</v>
          </cell>
          <cell r="D511">
            <v>-2.1638737782797648</v>
          </cell>
          <cell r="F511">
            <v>85.908667645690002</v>
          </cell>
          <cell r="G511">
            <v>84.700839016299739</v>
          </cell>
          <cell r="H511">
            <v>-1.2078286293902636</v>
          </cell>
          <cell r="J511">
            <v>78.667429910647826</v>
          </cell>
          <cell r="K511">
            <v>78.58560606860884</v>
          </cell>
          <cell r="L511">
            <v>-8.1823842038986072E-2</v>
          </cell>
          <cell r="N511">
            <v>55.458111577897249</v>
          </cell>
          <cell r="O511">
            <v>53.252160525103484</v>
          </cell>
          <cell r="P511">
            <v>-2.2059510527937647</v>
          </cell>
          <cell r="R511">
            <v>71.638751721642365</v>
          </cell>
          <cell r="S511">
            <v>72.669880083552357</v>
          </cell>
          <cell r="T511">
            <v>1.0311283619099925</v>
          </cell>
          <cell r="V511">
            <v>96.809616234304102</v>
          </cell>
          <cell r="W511">
            <v>96.23571198544569</v>
          </cell>
          <cell r="X511">
            <v>-0.57390424885841185</v>
          </cell>
          <cell r="Y511">
            <v>4.0694265756370696E-2</v>
          </cell>
          <cell r="Z511">
            <v>73.033693018686535</v>
          </cell>
          <cell r="AB511" t="str">
            <v>Central Region Total</v>
          </cell>
          <cell r="AC511">
            <v>183.57232652549385</v>
          </cell>
          <cell r="AD511">
            <v>188.65052840861159</v>
          </cell>
          <cell r="AE511">
            <v>5.0782018831177425</v>
          </cell>
          <cell r="AF511">
            <v>2.4686808612828015E-2</v>
          </cell>
          <cell r="AG511">
            <v>82.146371029485621</v>
          </cell>
          <cell r="AH511">
            <v>82.79059893114038</v>
          </cell>
          <cell r="AI511">
            <v>0.64422790165475874</v>
          </cell>
          <cell r="AJ511">
            <v>4.5799912632220163E-2</v>
          </cell>
          <cell r="AK511">
            <v>75.640186464660346</v>
          </cell>
          <cell r="AL511">
            <v>76.22282686443468</v>
          </cell>
          <cell r="AM511">
            <v>0.58264039977433413</v>
          </cell>
          <cell r="AN511">
            <v>4.0021628547965538E-2</v>
          </cell>
          <cell r="AO511">
            <v>52.023106867435892</v>
          </cell>
          <cell r="AP511">
            <v>52.326826207974101</v>
          </cell>
          <cell r="AQ511">
            <v>0.30371934053820837</v>
          </cell>
          <cell r="AR511">
            <v>6.6028442307652924E-2</v>
          </cell>
          <cell r="AS511">
            <v>68.685802312427597</v>
          </cell>
          <cell r="AT511">
            <v>69.725723097603918</v>
          </cell>
          <cell r="AU511">
            <v>1.0399207851763208</v>
          </cell>
          <cell r="AV511">
            <v>4.2992136799725245E-2</v>
          </cell>
          <cell r="AW511">
            <v>93.024070007672634</v>
          </cell>
          <cell r="AX511">
            <v>94.030888561711194</v>
          </cell>
          <cell r="AY511">
            <v>1.0068185540385599</v>
          </cell>
          <cell r="AZ511">
            <v>4.0694265756370696E-2</v>
          </cell>
          <cell r="BA511">
            <v>69.995750618309998</v>
          </cell>
          <cell r="BB511">
            <v>4.3401811874874685E-2</v>
          </cell>
        </row>
        <row r="513">
          <cell r="A513" t="str">
            <v>Canterbury DHB</v>
          </cell>
          <cell r="B513">
            <v>222.51980512603262</v>
          </cell>
          <cell r="C513">
            <v>223.0110062893082</v>
          </cell>
          <cell r="D513">
            <v>0.49120116327557639</v>
          </cell>
          <cell r="F513">
            <v>81.608968914557508</v>
          </cell>
          <cell r="G513">
            <v>83.832322188116336</v>
          </cell>
          <cell r="H513">
            <v>2.2233532735588284</v>
          </cell>
          <cell r="J513">
            <v>79.660652920962193</v>
          </cell>
          <cell r="K513">
            <v>77.896728961913169</v>
          </cell>
          <cell r="L513">
            <v>-1.7639239590490234</v>
          </cell>
          <cell r="N513">
            <v>55.652290652794093</v>
          </cell>
          <cell r="O513">
            <v>52.168025850130782</v>
          </cell>
          <cell r="P513">
            <v>-3.4842648026633114</v>
          </cell>
          <cell r="R513">
            <v>74.295245207866571</v>
          </cell>
          <cell r="S513">
            <v>74.319011731800174</v>
          </cell>
          <cell r="T513">
            <v>2.3766523933602457E-2</v>
          </cell>
          <cell r="V513">
            <v>95.427380052643926</v>
          </cell>
          <cell r="W513">
            <v>95.757611231871508</v>
          </cell>
          <cell r="X513">
            <v>0.33023117922758161</v>
          </cell>
          <cell r="Y513">
            <v>5.3389907199860476E-2</v>
          </cell>
          <cell r="Z513">
            <v>73.164800800550367</v>
          </cell>
          <cell r="AB513" t="str">
            <v>Canterbury DHB</v>
          </cell>
          <cell r="AC513">
            <v>211.57395139785666</v>
          </cell>
          <cell r="AD513">
            <v>212.83233600541948</v>
          </cell>
          <cell r="AE513">
            <v>1.2583846075628173</v>
          </cell>
          <cell r="AF513">
            <v>5.1735356152576184E-2</v>
          </cell>
          <cell r="AG513">
            <v>78.31146711515575</v>
          </cell>
          <cell r="AH513">
            <v>79.576908310988699</v>
          </cell>
          <cell r="AI513">
            <v>1.265441195832949</v>
          </cell>
          <cell r="AJ513">
            <v>4.210752168073717E-2</v>
          </cell>
          <cell r="AK513">
            <v>74.425974751619506</v>
          </cell>
          <cell r="AL513">
            <v>74.587477033450966</v>
          </cell>
          <cell r="AM513">
            <v>0.16150228183145998</v>
          </cell>
          <cell r="AN513">
            <v>7.0334022319657796E-2</v>
          </cell>
          <cell r="AO513">
            <v>49.641042777258562</v>
          </cell>
          <cell r="AP513">
            <v>49.713004974580436</v>
          </cell>
          <cell r="AQ513">
            <v>7.1962197321873589E-2</v>
          </cell>
          <cell r="AR513">
            <v>0.12109431106248625</v>
          </cell>
          <cell r="AS513">
            <v>72.222921057549485</v>
          </cell>
          <cell r="AT513">
            <v>71.631079465276358</v>
          </cell>
          <cell r="AU513">
            <v>-0.59184159227312705</v>
          </cell>
          <cell r="AV513">
            <v>2.8693441361445249E-2</v>
          </cell>
          <cell r="AW513">
            <v>90.590748402280269</v>
          </cell>
          <cell r="AX513">
            <v>91.340145034172508</v>
          </cell>
          <cell r="AY513">
            <v>0.74939663189223893</v>
          </cell>
          <cell r="AZ513">
            <v>5.3389907199860476E-2</v>
          </cell>
          <cell r="BA513">
            <v>69.01235415077133</v>
          </cell>
          <cell r="BB513">
            <v>6.0169613120386822E-2</v>
          </cell>
        </row>
        <row r="514">
          <cell r="A514" t="str">
            <v>Nelson Marlborough DHB</v>
          </cell>
          <cell r="B514">
            <v>253.59878636194588</v>
          </cell>
          <cell r="C514">
            <v>249.42333727034116</v>
          </cell>
          <cell r="D514">
            <v>-4.1754490916047189</v>
          </cell>
          <cell r="F514">
            <v>91.111130016620294</v>
          </cell>
          <cell r="G514">
            <v>90.346060606060604</v>
          </cell>
          <cell r="H514">
            <v>-0.7650694105596898</v>
          </cell>
          <cell r="J514">
            <v>74.744926294935709</v>
          </cell>
          <cell r="K514">
            <v>72.331079487179494</v>
          </cell>
          <cell r="L514">
            <v>-2.4138468077562152</v>
          </cell>
          <cell r="N514">
            <v>52.716487382215959</v>
          </cell>
          <cell r="O514">
            <v>51.334093982746623</v>
          </cell>
          <cell r="P514">
            <v>-1.3823933994693363</v>
          </cell>
          <cell r="R514">
            <v>70.559102496613818</v>
          </cell>
          <cell r="S514">
            <v>69.995849124005147</v>
          </cell>
          <cell r="T514">
            <v>-0.56325337260867059</v>
          </cell>
          <cell r="V514">
            <v>97.2260601522689</v>
          </cell>
          <cell r="W514">
            <v>96.104663091159097</v>
          </cell>
          <cell r="X514">
            <v>-1.1213970611098034</v>
          </cell>
          <cell r="Y514">
            <v>4.6476889856948089E-2</v>
          </cell>
          <cell r="Z514">
            <v>70.834153850834738</v>
          </cell>
          <cell r="AB514" t="str">
            <v>Nelson Marlborough DHB</v>
          </cell>
          <cell r="AC514">
            <v>243.89891624018568</v>
          </cell>
          <cell r="AD514">
            <v>254.09279362601617</v>
          </cell>
          <cell r="AE514">
            <v>10.19387738583049</v>
          </cell>
          <cell r="AF514">
            <v>3.9770041914446219E-2</v>
          </cell>
          <cell r="AG514">
            <v>85.403270370093651</v>
          </cell>
          <cell r="AH514">
            <v>85.848325999003492</v>
          </cell>
          <cell r="AI514">
            <v>0.44505562890984152</v>
          </cell>
          <cell r="AJ514">
            <v>6.6834204612911563E-2</v>
          </cell>
          <cell r="AK514">
            <v>70.62858835614243</v>
          </cell>
          <cell r="AL514">
            <v>70.252986577181218</v>
          </cell>
          <cell r="AM514">
            <v>-0.37560177896121161</v>
          </cell>
          <cell r="AN514">
            <v>5.8281469792894169E-2</v>
          </cell>
          <cell r="AO514">
            <v>52.769330843212245</v>
          </cell>
          <cell r="AP514">
            <v>52.181710769230762</v>
          </cell>
          <cell r="AQ514">
            <v>-0.58762007398148342</v>
          </cell>
          <cell r="AR514">
            <v>-1.0014047961550698E-3</v>
          </cell>
          <cell r="AS514">
            <v>67.47957054842179</v>
          </cell>
          <cell r="AT514">
            <v>67.832440650406497</v>
          </cell>
          <cell r="AU514">
            <v>0.35287010198470625</v>
          </cell>
          <cell r="AV514">
            <v>4.5636507807681248E-2</v>
          </cell>
          <cell r="AW514">
            <v>92.907985923663887</v>
          </cell>
          <cell r="AX514">
            <v>93.592074784697203</v>
          </cell>
          <cell r="AY514">
            <v>0.68408886103331668</v>
          </cell>
          <cell r="AZ514">
            <v>4.6476889856948089E-2</v>
          </cell>
          <cell r="BA514">
            <v>67.688501368717212</v>
          </cell>
          <cell r="BB514">
            <v>4.6472479350404328E-2</v>
          </cell>
        </row>
        <row r="515">
          <cell r="A515" t="str">
            <v>South Canterbury DHB</v>
          </cell>
          <cell r="B515">
            <v>262.62029452575985</v>
          </cell>
          <cell r="C515">
            <v>250.92982456140348</v>
          </cell>
          <cell r="D515">
            <v>-11.690469964356367</v>
          </cell>
          <cell r="F515">
            <v>87.655652100378418</v>
          </cell>
          <cell r="G515">
            <v>84.870833333333323</v>
          </cell>
          <cell r="H515">
            <v>-2.7848187670450955</v>
          </cell>
          <cell r="J515">
            <v>81.534908326129326</v>
          </cell>
          <cell r="K515">
            <v>78.329853862212957</v>
          </cell>
          <cell r="L515">
            <v>-3.2050544639163689</v>
          </cell>
          <cell r="N515">
            <v>54.141989273277247</v>
          </cell>
          <cell r="O515">
            <v>51.405300754389479</v>
          </cell>
          <cell r="P515">
            <v>-2.7366885188877674</v>
          </cell>
          <cell r="R515">
            <v>72.733778625954201</v>
          </cell>
          <cell r="S515">
            <v>69.914529914529908</v>
          </cell>
          <cell r="T515">
            <v>-2.8192487114242937</v>
          </cell>
          <cell r="V515">
            <v>102.49436458371824</v>
          </cell>
          <cell r="W515">
            <v>97.885324791644521</v>
          </cell>
          <cell r="X515">
            <v>-4.6090397920737161</v>
          </cell>
          <cell r="Y515">
            <v>6.4137768334509682E-2</v>
          </cell>
          <cell r="Z515">
            <v>72.507036035538889</v>
          </cell>
          <cell r="AB515" t="str">
            <v>South Canterbury DHB</v>
          </cell>
          <cell r="AC515">
            <v>266.76366659738102</v>
          </cell>
          <cell r="AD515">
            <v>265.81481481481484</v>
          </cell>
          <cell r="AE515">
            <v>-0.94885178256618019</v>
          </cell>
          <cell r="AF515">
            <v>-1.5531995509248442E-2</v>
          </cell>
          <cell r="AG515">
            <v>83.060458770358991</v>
          </cell>
          <cell r="AH515">
            <v>85.732456140350862</v>
          </cell>
          <cell r="AI515">
            <v>2.6719973699918711</v>
          </cell>
          <cell r="AJ515">
            <v>5.5323476393550397E-2</v>
          </cell>
          <cell r="AK515">
            <v>78.074522170023826</v>
          </cell>
          <cell r="AL515">
            <v>78.107526881720432</v>
          </cell>
          <cell r="AM515">
            <v>3.3004711696605682E-2</v>
          </cell>
          <cell r="AN515">
            <v>4.4321579689847734E-2</v>
          </cell>
          <cell r="AO515">
            <v>49.390414146114466</v>
          </cell>
          <cell r="AP515">
            <v>49.714285714285715</v>
          </cell>
          <cell r="AQ515">
            <v>0.32387156817124918</v>
          </cell>
          <cell r="AR515">
            <v>9.6204399361907056E-2</v>
          </cell>
          <cell r="AS515">
            <v>70.756853339958155</v>
          </cell>
          <cell r="AT515">
            <v>72.953873267643999</v>
          </cell>
          <cell r="AU515">
            <v>2.1970199276858438</v>
          </cell>
          <cell r="AV515">
            <v>2.7939700434355341E-2</v>
          </cell>
          <cell r="AW515">
            <v>96.316818774445878</v>
          </cell>
          <cell r="AX515">
            <v>100.02859950291891</v>
          </cell>
          <cell r="AY515">
            <v>3.7117807284730304</v>
          </cell>
          <cell r="AZ515">
            <v>6.4137768334509682E-2</v>
          </cell>
          <cell r="BA515">
            <v>69.204551506221932</v>
          </cell>
          <cell r="BB515">
            <v>4.7720626135696387E-2</v>
          </cell>
        </row>
        <row r="516">
          <cell r="A516" t="str">
            <v>Southern DHB</v>
          </cell>
          <cell r="B516">
            <v>239.67588781696938</v>
          </cell>
          <cell r="C516">
            <v>229.87205349081978</v>
          </cell>
          <cell r="D516">
            <v>-9.8038343261495982</v>
          </cell>
          <cell r="F516">
            <v>84.392032460951626</v>
          </cell>
          <cell r="G516">
            <v>82.196070252338103</v>
          </cell>
          <cell r="H516">
            <v>-2.1959622086135226</v>
          </cell>
          <cell r="J516">
            <v>80.359892778555704</v>
          </cell>
          <cell r="K516">
            <v>79.051945197667905</v>
          </cell>
          <cell r="L516">
            <v>-1.3079475808877987</v>
          </cell>
          <cell r="N516">
            <v>61.688472215361827</v>
          </cell>
          <cell r="O516">
            <v>61.507092580119505</v>
          </cell>
          <cell r="P516">
            <v>-0.18137963524232248</v>
          </cell>
          <cell r="R516">
            <v>70.995045717127667</v>
          </cell>
          <cell r="S516">
            <v>71.110712404119823</v>
          </cell>
          <cell r="T516">
            <v>0.11566668699215654</v>
          </cell>
          <cell r="V516">
            <v>104.18986895329579</v>
          </cell>
          <cell r="W516">
            <v>101.44689909434031</v>
          </cell>
          <cell r="X516">
            <v>-2.7429698589554761</v>
          </cell>
          <cell r="Y516">
            <v>3.772756696352042E-2</v>
          </cell>
          <cell r="Z516">
            <v>74.694641758094917</v>
          </cell>
          <cell r="AB516" t="str">
            <v>Southern DHB</v>
          </cell>
          <cell r="AC516">
            <v>230.4085567486714</v>
          </cell>
          <cell r="AD516">
            <v>227.06772405081054</v>
          </cell>
          <cell r="AE516">
            <v>-3.3408326978608613</v>
          </cell>
          <cell r="AF516">
            <v>4.0221297329711359E-2</v>
          </cell>
          <cell r="AG516">
            <v>84.280729370905064</v>
          </cell>
          <cell r="AH516">
            <v>82.887882378631318</v>
          </cell>
          <cell r="AI516">
            <v>-1.3928469922737463</v>
          </cell>
          <cell r="AJ516">
            <v>1.3206232418414565E-3</v>
          </cell>
          <cell r="AK516">
            <v>75.884686076974305</v>
          </cell>
          <cell r="AL516">
            <v>75.56403269754766</v>
          </cell>
          <cell r="AM516">
            <v>-0.32065337942664485</v>
          </cell>
          <cell r="AN516">
            <v>5.8973778939296562E-2</v>
          </cell>
          <cell r="AO516">
            <v>56.9536719468801</v>
          </cell>
          <cell r="AP516">
            <v>59.885866972039324</v>
          </cell>
          <cell r="AQ516">
            <v>2.9321950251592241</v>
          </cell>
          <cell r="AR516">
            <v>8.3134240631540068E-2</v>
          </cell>
          <cell r="AS516">
            <v>67.144133696500376</v>
          </cell>
          <cell r="AT516">
            <v>67.148921106198017</v>
          </cell>
          <cell r="AU516">
            <v>4.7874096976414648E-3</v>
          </cell>
          <cell r="AV516">
            <v>5.7352918395430885E-2</v>
          </cell>
          <cell r="AW516">
            <v>100.40194774642467</v>
          </cell>
          <cell r="AX516">
            <v>100.2377625271828</v>
          </cell>
          <cell r="AY516">
            <v>-0.16418521924187246</v>
          </cell>
          <cell r="AZ516">
            <v>3.772756696352042E-2</v>
          </cell>
          <cell r="BA516">
            <v>70.471066298436469</v>
          </cell>
          <cell r="BB516">
            <v>5.993346889022666E-2</v>
          </cell>
        </row>
        <row r="517">
          <cell r="A517" t="str">
            <v>West Coast DHB</v>
          </cell>
          <cell r="B517">
            <v>309.3415433668028</v>
          </cell>
          <cell r="C517">
            <v>272.27511764348725</v>
          </cell>
          <cell r="D517">
            <v>-37.066425723315547</v>
          </cell>
          <cell r="F517">
            <v>97.349239637151044</v>
          </cell>
          <cell r="G517">
            <v>96.09186593644489</v>
          </cell>
          <cell r="H517">
            <v>-1.2573737007061538</v>
          </cell>
          <cell r="J517">
            <v>67.297817074115713</v>
          </cell>
          <cell r="K517">
            <v>70.814562192102969</v>
          </cell>
          <cell r="L517">
            <v>3.5167451179872558</v>
          </cell>
          <cell r="N517">
            <v>66.022911293708404</v>
          </cell>
          <cell r="O517">
            <v>62.659292022791426</v>
          </cell>
          <cell r="P517">
            <v>-3.3636192709169777</v>
          </cell>
          <cell r="R517">
            <v>60.915965007208435</v>
          </cell>
          <cell r="S517">
            <v>61.165915760226291</v>
          </cell>
          <cell r="T517">
            <v>0.24995075301785619</v>
          </cell>
          <cell r="V517">
            <v>94.488862622690533</v>
          </cell>
          <cell r="W517">
            <v>93.420065178898355</v>
          </cell>
          <cell r="X517">
            <v>-1.0687974437921781</v>
          </cell>
          <cell r="Y517">
            <v>5.7930676733590758E-2</v>
          </cell>
          <cell r="Z517">
            <v>64.694321731411947</v>
          </cell>
          <cell r="AB517" t="str">
            <v>West Coast DHB</v>
          </cell>
          <cell r="AC517">
            <v>284.74110179596187</v>
          </cell>
          <cell r="AD517">
            <v>309.27502305890766</v>
          </cell>
          <cell r="AE517">
            <v>24.533921262945796</v>
          </cell>
          <cell r="AF517">
            <v>8.6395822084262885E-2</v>
          </cell>
          <cell r="AG517">
            <v>90.282791192750921</v>
          </cell>
          <cell r="AH517">
            <v>84.571036081531318</v>
          </cell>
          <cell r="AI517">
            <v>-5.7117551112196026</v>
          </cell>
          <cell r="AJ517">
            <v>7.8270159252315175E-2</v>
          </cell>
          <cell r="AK517">
            <v>65.322685299315594</v>
          </cell>
          <cell r="AL517">
            <v>65.375652714830764</v>
          </cell>
          <cell r="AM517">
            <v>5.2967415515169591E-2</v>
          </cell>
          <cell r="AN517">
            <v>3.02365367521229E-2</v>
          </cell>
          <cell r="AO517">
            <v>66.661812464729806</v>
          </cell>
          <cell r="AP517">
            <v>58.351490413886125</v>
          </cell>
          <cell r="AQ517">
            <v>-8.3103220508436806</v>
          </cell>
          <cell r="AR517">
            <v>-9.5842154210769026E-3</v>
          </cell>
          <cell r="AS517">
            <v>58.78611134761848</v>
          </cell>
          <cell r="AT517">
            <v>57.514244511050514</v>
          </cell>
          <cell r="AU517">
            <v>-1.2718668365679662</v>
          </cell>
          <cell r="AV517">
            <v>3.6230558728328477E-2</v>
          </cell>
          <cell r="AW517">
            <v>89.314796045454699</v>
          </cell>
          <cell r="AX517">
            <v>86.801738295459529</v>
          </cell>
          <cell r="AY517">
            <v>-2.5130577499951698</v>
          </cell>
          <cell r="AZ517">
            <v>5.7930676733590758E-2</v>
          </cell>
          <cell r="BA517">
            <v>62.776231091392944</v>
          </cell>
          <cell r="BB517">
            <v>3.0554408996400939E-2</v>
          </cell>
        </row>
        <row r="518">
          <cell r="A518" t="str">
            <v>Southern Region Total</v>
          </cell>
          <cell r="B518">
            <v>234.21566203720155</v>
          </cell>
          <cell r="C518">
            <v>230.26835863099808</v>
          </cell>
          <cell r="D518">
            <v>-3.9473034062034742</v>
          </cell>
          <cell r="F518">
            <v>84.220623190710299</v>
          </cell>
          <cell r="G518">
            <v>84.688333389762278</v>
          </cell>
          <cell r="H518">
            <v>0.46771019905197875</v>
          </cell>
          <cell r="J518">
            <v>78.231511802605738</v>
          </cell>
          <cell r="K518">
            <v>76.666020837278197</v>
          </cell>
          <cell r="L518">
            <v>-1.5654909653275411</v>
          </cell>
          <cell r="N518">
            <v>55.995578748623984</v>
          </cell>
          <cell r="O518">
            <v>53.23227201427526</v>
          </cell>
          <cell r="P518">
            <v>-2.7633067343487241</v>
          </cell>
          <cell r="R518">
            <v>72.208549497672152</v>
          </cell>
          <cell r="S518">
            <v>72.006798226102333</v>
          </cell>
          <cell r="T518">
            <v>-0.20175127156981887</v>
          </cell>
          <cell r="V518">
            <v>98.026512784379563</v>
          </cell>
          <cell r="W518">
            <v>97.172641704190625</v>
          </cell>
          <cell r="X518">
            <v>-0.85387108018893798</v>
          </cell>
          <cell r="Y518">
            <v>4.8937232502753725E-2</v>
          </cell>
          <cell r="Z518">
            <v>72.700194990200416</v>
          </cell>
          <cell r="AB518" t="str">
            <v>Southern Region Total</v>
          </cell>
          <cell r="AC518">
            <v>224.2577221752521</v>
          </cell>
          <cell r="AD518">
            <v>225.75649137980196</v>
          </cell>
          <cell r="AE518">
            <v>1.4987692045498591</v>
          </cell>
          <cell r="AF518">
            <v>4.4403999850527232E-2</v>
          </cell>
          <cell r="AG518">
            <v>81.315059036685938</v>
          </cell>
          <cell r="AH518">
            <v>81.571641556429697</v>
          </cell>
          <cell r="AI518">
            <v>0.25658251974375901</v>
          </cell>
          <cell r="AJ518">
            <v>3.5732177882493943E-2</v>
          </cell>
          <cell r="AK518">
            <v>73.609218723558271</v>
          </cell>
          <cell r="AL518">
            <v>73.52013738793417</v>
          </cell>
          <cell r="AM518">
            <v>-8.9081335624101143E-2</v>
          </cell>
          <cell r="AN518">
            <v>6.2795029742220621E-2</v>
          </cell>
          <cell r="AO518">
            <v>51.132862775623252</v>
          </cell>
          <cell r="AP518">
            <v>51.382870504843311</v>
          </cell>
          <cell r="AQ518">
            <v>0.25000772922005865</v>
          </cell>
          <cell r="AR518">
            <v>9.5099623002507627E-2</v>
          </cell>
          <cell r="AS518">
            <v>69.500139990439692</v>
          </cell>
          <cell r="AT518">
            <v>69.277597780476128</v>
          </cell>
          <cell r="AU518">
            <v>-0.22254220996356366</v>
          </cell>
          <cell r="AV518">
            <v>3.896984247233215E-2</v>
          </cell>
          <cell r="AW518">
            <v>93.453173123132714</v>
          </cell>
          <cell r="AX518">
            <v>93.979323616132916</v>
          </cell>
          <cell r="AY518">
            <v>0.52615049300020189</v>
          </cell>
          <cell r="AZ518">
            <v>4.8937232502753725E-2</v>
          </cell>
          <cell r="BA518">
            <v>68.831917468329749</v>
          </cell>
          <cell r="BB518">
            <v>5.6198892376498222E-2</v>
          </cell>
        </row>
        <row r="519">
          <cell r="A519" t="str">
            <v>Total</v>
          </cell>
          <cell r="B519">
            <v>212.37626582041008</v>
          </cell>
          <cell r="C519">
            <v>207.89986575439721</v>
          </cell>
          <cell r="D519">
            <v>-4.4764000660128715</v>
          </cell>
          <cell r="F519">
            <v>85.702191920791876</v>
          </cell>
          <cell r="G519">
            <v>85.194704801518768</v>
          </cell>
          <cell r="H519">
            <v>-0.50748711927310808</v>
          </cell>
          <cell r="J519">
            <v>78.199690224433795</v>
          </cell>
          <cell r="K519">
            <v>76.282237503698056</v>
          </cell>
          <cell r="L519">
            <v>-1.9174527207357386</v>
          </cell>
          <cell r="N519">
            <v>55.386590270830823</v>
          </cell>
          <cell r="O519">
            <v>52.495079840777898</v>
          </cell>
          <cell r="P519">
            <v>-2.8915104300529251</v>
          </cell>
          <cell r="R519">
            <v>76.591767684462269</v>
          </cell>
          <cell r="S519">
            <v>75.489189479623718</v>
          </cell>
          <cell r="T519">
            <v>-1.1025782048385508</v>
          </cell>
          <cell r="V519">
            <v>99.667763935262244</v>
          </cell>
          <cell r="W519">
            <v>98.224538171885513</v>
          </cell>
          <cell r="X519">
            <v>-1.4432257633767307</v>
          </cell>
          <cell r="Y519">
            <v>4.6597556095145931E-2</v>
          </cell>
          <cell r="Z519">
            <v>74.572292142963349</v>
          </cell>
          <cell r="AB519" t="str">
            <v>All DHBs</v>
          </cell>
          <cell r="AC519">
            <v>201.6754548418991</v>
          </cell>
          <cell r="AD519">
            <v>208.11614449334132</v>
          </cell>
          <cell r="AE519">
            <v>6.4406896514422272</v>
          </cell>
          <cell r="AF519">
            <v>5.3059560405601891E-2</v>
          </cell>
          <cell r="AG519">
            <v>82.474855513412393</v>
          </cell>
          <cell r="AH519">
            <v>82.152201656434215</v>
          </cell>
          <cell r="AI519">
            <v>-0.32265385697817806</v>
          </cell>
          <cell r="AJ519">
            <v>3.9131155638758797E-2</v>
          </cell>
          <cell r="AK519">
            <v>74.809519875519683</v>
          </cell>
          <cell r="AL519">
            <v>74.187951253414909</v>
          </cell>
          <cell r="AM519">
            <v>-0.6215686221047747</v>
          </cell>
          <cell r="AN519">
            <v>4.5317365417599786E-2</v>
          </cell>
          <cell r="AO519">
            <v>51.330278788999507</v>
          </cell>
          <cell r="AP519">
            <v>50.8195297750786</v>
          </cell>
          <cell r="AQ519">
            <v>-0.51074901392090766</v>
          </cell>
          <cell r="AR519">
            <v>7.9023757079235146E-2</v>
          </cell>
          <cell r="AS519">
            <v>73.306118259676737</v>
          </cell>
          <cell r="AT519">
            <v>73.526131900458893</v>
          </cell>
          <cell r="AU519">
            <v>0.22001364078215602</v>
          </cell>
          <cell r="AV519">
            <v>4.4820944046533473E-2</v>
          </cell>
          <cell r="AW519">
            <v>95.230266261200285</v>
          </cell>
          <cell r="AX519">
            <v>95.528143350390394</v>
          </cell>
          <cell r="AY519">
            <v>0.29787708919010925</v>
          </cell>
          <cell r="AZ519">
            <v>4.6597556095145931E-2</v>
          </cell>
          <cell r="BA519">
            <v>71.163038915106057</v>
          </cell>
          <cell r="BB519">
            <v>4.7907639693751225E-2</v>
          </cell>
        </row>
        <row r="521">
          <cell r="V521">
            <v>6677882.8506666673</v>
          </cell>
        </row>
      </sheetData>
      <sheetData sheetId="5">
        <row r="22">
          <cell r="G22">
            <v>137048.44739999966</v>
          </cell>
          <cell r="H22">
            <v>87461.175099999818</v>
          </cell>
          <cell r="I22">
            <v>15617.960999999792</v>
          </cell>
          <cell r="J22">
            <v>83343.603100000066</v>
          </cell>
          <cell r="K22">
            <v>95625.093100000493</v>
          </cell>
          <cell r="L22">
            <v>146039.72305000026</v>
          </cell>
          <cell r="M22">
            <v>184915.71081999998</v>
          </cell>
          <cell r="N22">
            <v>168217.61759999968</v>
          </cell>
          <cell r="O22">
            <v>170567.59296000126</v>
          </cell>
          <cell r="P22">
            <v>174022.93133000156</v>
          </cell>
          <cell r="Q22">
            <v>127575.72574000049</v>
          </cell>
        </row>
        <row r="23">
          <cell r="G23">
            <v>-13700.197800000002</v>
          </cell>
          <cell r="H23">
            <v>-23989.666100000002</v>
          </cell>
          <cell r="I23">
            <v>-6096.610999999999</v>
          </cell>
          <cell r="J23">
            <v>2066.4195000000018</v>
          </cell>
          <cell r="K23">
            <v>3857.3719493300032</v>
          </cell>
          <cell r="L23">
            <v>-1978.9749329999977</v>
          </cell>
          <cell r="M23">
            <v>-6585.1466802999976</v>
          </cell>
          <cell r="N23">
            <v>-1276.1977366000024</v>
          </cell>
          <cell r="O23">
            <v>8572.624082699991</v>
          </cell>
          <cell r="P23">
            <v>-5408.2108764000004</v>
          </cell>
          <cell r="Q23">
            <v>9766.8651100000006</v>
          </cell>
        </row>
        <row r="24">
          <cell r="G24">
            <v>-166623.03370000009</v>
          </cell>
          <cell r="H24">
            <v>-218239.83960000006</v>
          </cell>
          <cell r="I24">
            <v>-111396.06230000003</v>
          </cell>
          <cell r="J24">
            <v>-101239.44750000001</v>
          </cell>
          <cell r="K24">
            <v>-122899.85672000036</v>
          </cell>
          <cell r="L24">
            <v>-162957.6921500001</v>
          </cell>
          <cell r="M24">
            <v>-185688.7894190001</v>
          </cell>
          <cell r="N24">
            <v>-232779.34897999986</v>
          </cell>
          <cell r="O24">
            <v>-236972.48515000046</v>
          </cell>
          <cell r="P24">
            <v>-287406.51344370015</v>
          </cell>
          <cell r="Q24">
            <v>-394837.46307999897</v>
          </cell>
        </row>
        <row r="25">
          <cell r="G25">
            <v>-43274.784100000426</v>
          </cell>
          <cell r="H25">
            <v>-154768.33059999999</v>
          </cell>
          <cell r="I25">
            <v>-101874.71230000025</v>
          </cell>
          <cell r="J25">
            <v>-15829.42489999994</v>
          </cell>
          <cell r="K25">
            <v>-23417.047220669661</v>
          </cell>
          <cell r="L25">
            <v>-18897.746292999524</v>
          </cell>
          <cell r="M25">
            <v>-7358.754889299671</v>
          </cell>
          <cell r="N25">
            <v>-65839.181796600402</v>
          </cell>
          <cell r="O25">
            <v>-57832.268107299562</v>
          </cell>
          <cell r="P25">
            <v>-118791.79299009846</v>
          </cell>
          <cell r="Q25">
            <v>-257494.87222999861</v>
          </cell>
        </row>
      </sheetData>
      <sheetData sheetId="6">
        <row r="19">
          <cell r="A19" t="str">
            <v>South Canterbury DHB</v>
          </cell>
        </row>
      </sheetData>
      <sheetData sheetId="7">
        <row r="8">
          <cell r="C8" t="str">
            <v>South Canterbury DHB</v>
          </cell>
        </row>
      </sheetData>
      <sheetData sheetId="8">
        <row r="7">
          <cell r="V7" t="str">
            <v>Actual</v>
          </cell>
        </row>
      </sheetData>
      <sheetData sheetId="9">
        <row r="7">
          <cell r="B7" t="str">
            <v>Actual</v>
          </cell>
        </row>
      </sheetData>
      <sheetData sheetId="10">
        <row r="22">
          <cell r="G22">
            <v>137048.44739999966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Maori"/>
      <sheetName val="Pacific"/>
      <sheetName val="Asian"/>
      <sheetName val="Other"/>
      <sheetName val="Terms and Conditions of Supply"/>
      <sheetName val="DHB 0-30 Years Age-Sex Projecti"/>
      <sheetName val="Terms_and_Conditions_of_Supply"/>
      <sheetName val="DHB_0-30_Years_Age-Sex_Projecti"/>
    </sheetNames>
    <sheetDataSet>
      <sheetData sheetId="0">
        <row r="1869">
          <cell r="D1869">
            <v>60270</v>
          </cell>
          <cell r="E1869">
            <v>61360</v>
          </cell>
          <cell r="F1869">
            <v>62540</v>
          </cell>
          <cell r="G1869">
            <v>64280</v>
          </cell>
          <cell r="H1869">
            <v>63480</v>
          </cell>
          <cell r="I1869">
            <v>63820</v>
          </cell>
          <cell r="J1869">
            <v>61570</v>
          </cell>
          <cell r="K1869">
            <v>58750</v>
          </cell>
          <cell r="L1869">
            <v>57690</v>
          </cell>
          <cell r="M1869">
            <v>58240</v>
          </cell>
          <cell r="N1869">
            <v>57220</v>
          </cell>
          <cell r="O1869">
            <v>57510</v>
          </cell>
          <cell r="P1869">
            <v>60350</v>
          </cell>
          <cell r="Q1869">
            <v>61710</v>
          </cell>
          <cell r="R1869">
            <v>59980</v>
          </cell>
          <cell r="S1869">
            <v>61560</v>
          </cell>
          <cell r="T1869">
            <v>62000</v>
          </cell>
          <cell r="U1869">
            <v>62870</v>
          </cell>
          <cell r="V1869">
            <v>62920</v>
          </cell>
          <cell r="W1869">
            <v>63130</v>
          </cell>
        </row>
        <row r="1870">
          <cell r="D1870">
            <v>59180</v>
          </cell>
          <cell r="E1870">
            <v>60500</v>
          </cell>
          <cell r="F1870">
            <v>61670</v>
          </cell>
          <cell r="G1870">
            <v>62920</v>
          </cell>
          <cell r="H1870">
            <v>64740</v>
          </cell>
          <cell r="I1870">
            <v>63660</v>
          </cell>
          <cell r="J1870">
            <v>64020</v>
          </cell>
          <cell r="K1870">
            <v>61760</v>
          </cell>
          <cell r="L1870">
            <v>58890</v>
          </cell>
          <cell r="M1870">
            <v>57800</v>
          </cell>
          <cell r="N1870">
            <v>58210</v>
          </cell>
          <cell r="O1870">
            <v>57190</v>
          </cell>
          <cell r="P1870">
            <v>57460</v>
          </cell>
          <cell r="Q1870">
            <v>60300</v>
          </cell>
          <cell r="R1870">
            <v>61700</v>
          </cell>
          <cell r="S1870">
            <v>60010</v>
          </cell>
          <cell r="T1870">
            <v>61980</v>
          </cell>
          <cell r="U1870">
            <v>62660</v>
          </cell>
          <cell r="V1870">
            <v>64670</v>
          </cell>
          <cell r="W1870">
            <v>64200</v>
          </cell>
        </row>
        <row r="1871">
          <cell r="D1871">
            <v>59530</v>
          </cell>
          <cell r="E1871">
            <v>59580</v>
          </cell>
          <cell r="F1871">
            <v>61000</v>
          </cell>
          <cell r="G1871">
            <v>62250</v>
          </cell>
          <cell r="H1871">
            <v>63580</v>
          </cell>
          <cell r="I1871">
            <v>65260</v>
          </cell>
          <cell r="J1871">
            <v>64170</v>
          </cell>
          <cell r="K1871">
            <v>64520</v>
          </cell>
          <cell r="L1871">
            <v>62210</v>
          </cell>
          <cell r="M1871">
            <v>59310</v>
          </cell>
          <cell r="N1871">
            <v>58070</v>
          </cell>
          <cell r="O1871">
            <v>58470</v>
          </cell>
          <cell r="P1871">
            <v>57450</v>
          </cell>
          <cell r="Q1871">
            <v>57740</v>
          </cell>
          <cell r="R1871">
            <v>60610</v>
          </cell>
          <cell r="S1871">
            <v>62050</v>
          </cell>
          <cell r="T1871">
            <v>60610</v>
          </cell>
          <cell r="U1871">
            <v>62980</v>
          </cell>
          <cell r="V1871">
            <v>64810</v>
          </cell>
          <cell r="W1871">
            <v>66320</v>
          </cell>
        </row>
        <row r="1872">
          <cell r="D1872">
            <v>60210</v>
          </cell>
          <cell r="E1872">
            <v>60050</v>
          </cell>
          <cell r="F1872">
            <v>60190</v>
          </cell>
          <cell r="G1872">
            <v>61720</v>
          </cell>
          <cell r="H1872">
            <v>63040</v>
          </cell>
          <cell r="I1872">
            <v>64330</v>
          </cell>
          <cell r="J1872">
            <v>65990</v>
          </cell>
          <cell r="K1872">
            <v>64860</v>
          </cell>
          <cell r="L1872">
            <v>65180</v>
          </cell>
          <cell r="M1872">
            <v>62830</v>
          </cell>
          <cell r="N1872">
            <v>59790</v>
          </cell>
          <cell r="O1872">
            <v>58540</v>
          </cell>
          <cell r="P1872">
            <v>58950</v>
          </cell>
          <cell r="Q1872">
            <v>57960</v>
          </cell>
          <cell r="R1872">
            <v>58270</v>
          </cell>
          <cell r="S1872">
            <v>61190</v>
          </cell>
          <cell r="T1872">
            <v>62880</v>
          </cell>
          <cell r="U1872">
            <v>61680</v>
          </cell>
          <cell r="V1872">
            <v>65360</v>
          </cell>
          <cell r="W1872">
            <v>66690</v>
          </cell>
        </row>
        <row r="1873">
          <cell r="D1873">
            <v>61120</v>
          </cell>
          <cell r="E1873">
            <v>60750</v>
          </cell>
          <cell r="F1873">
            <v>60690</v>
          </cell>
          <cell r="G1873">
            <v>60920</v>
          </cell>
          <cell r="H1873">
            <v>62530</v>
          </cell>
          <cell r="I1873">
            <v>63870</v>
          </cell>
          <cell r="J1873">
            <v>65150</v>
          </cell>
          <cell r="K1873">
            <v>66760</v>
          </cell>
          <cell r="L1873">
            <v>65570</v>
          </cell>
          <cell r="M1873">
            <v>65870</v>
          </cell>
          <cell r="N1873">
            <v>63400</v>
          </cell>
          <cell r="O1873">
            <v>60350</v>
          </cell>
          <cell r="P1873">
            <v>59120</v>
          </cell>
          <cell r="Q1873">
            <v>59560</v>
          </cell>
          <cell r="R1873">
            <v>58580</v>
          </cell>
          <cell r="S1873">
            <v>58940</v>
          </cell>
          <cell r="T1873">
            <v>62110</v>
          </cell>
          <cell r="U1873">
            <v>64040</v>
          </cell>
          <cell r="V1873">
            <v>63990</v>
          </cell>
          <cell r="W1873">
            <v>67320</v>
          </cell>
        </row>
        <row r="1874">
          <cell r="D1874">
            <v>60590</v>
          </cell>
          <cell r="E1874">
            <v>61570</v>
          </cell>
          <cell r="F1874">
            <v>61290</v>
          </cell>
          <cell r="G1874">
            <v>61320</v>
          </cell>
          <cell r="H1874">
            <v>61620</v>
          </cell>
          <cell r="I1874">
            <v>63280</v>
          </cell>
          <cell r="J1874">
            <v>64600</v>
          </cell>
          <cell r="K1874">
            <v>65830</v>
          </cell>
          <cell r="L1874">
            <v>67380</v>
          </cell>
          <cell r="M1874">
            <v>66160</v>
          </cell>
          <cell r="N1874">
            <v>66390</v>
          </cell>
          <cell r="O1874">
            <v>63910</v>
          </cell>
          <cell r="P1874">
            <v>60870</v>
          </cell>
          <cell r="Q1874">
            <v>59660</v>
          </cell>
          <cell r="R1874">
            <v>60120</v>
          </cell>
          <cell r="S1874">
            <v>59190</v>
          </cell>
          <cell r="T1874">
            <v>59780</v>
          </cell>
          <cell r="U1874">
            <v>63190</v>
          </cell>
          <cell r="V1874">
            <v>66280</v>
          </cell>
          <cell r="W1874">
            <v>65710</v>
          </cell>
        </row>
        <row r="1875">
          <cell r="D1875">
            <v>61790</v>
          </cell>
          <cell r="E1875">
            <v>60910</v>
          </cell>
          <cell r="F1875">
            <v>61980</v>
          </cell>
          <cell r="G1875">
            <v>61790</v>
          </cell>
          <cell r="H1875">
            <v>61890</v>
          </cell>
          <cell r="I1875">
            <v>62260</v>
          </cell>
          <cell r="J1875">
            <v>63890</v>
          </cell>
          <cell r="K1875">
            <v>65170</v>
          </cell>
          <cell r="L1875">
            <v>66340</v>
          </cell>
          <cell r="M1875">
            <v>67860</v>
          </cell>
          <cell r="N1875">
            <v>66570</v>
          </cell>
          <cell r="O1875">
            <v>66810</v>
          </cell>
          <cell r="P1875">
            <v>64340</v>
          </cell>
          <cell r="Q1875">
            <v>61330</v>
          </cell>
          <cell r="R1875">
            <v>60130</v>
          </cell>
          <cell r="S1875">
            <v>60610</v>
          </cell>
          <cell r="T1875">
            <v>59980</v>
          </cell>
          <cell r="U1875">
            <v>60820</v>
          </cell>
          <cell r="V1875">
            <v>65380</v>
          </cell>
          <cell r="W1875">
            <v>67960</v>
          </cell>
        </row>
        <row r="1876">
          <cell r="D1876">
            <v>62250</v>
          </cell>
          <cell r="E1876">
            <v>62020</v>
          </cell>
          <cell r="F1876">
            <v>61140</v>
          </cell>
          <cell r="G1876">
            <v>62290</v>
          </cell>
          <cell r="H1876">
            <v>62180</v>
          </cell>
          <cell r="I1876">
            <v>62420</v>
          </cell>
          <cell r="J1876">
            <v>62770</v>
          </cell>
          <cell r="K1876">
            <v>64350</v>
          </cell>
          <cell r="L1876">
            <v>65570</v>
          </cell>
          <cell r="M1876">
            <v>66710</v>
          </cell>
          <cell r="N1876">
            <v>68170</v>
          </cell>
          <cell r="O1876">
            <v>66870</v>
          </cell>
          <cell r="P1876">
            <v>67140</v>
          </cell>
          <cell r="Q1876">
            <v>64700</v>
          </cell>
          <cell r="R1876">
            <v>61700</v>
          </cell>
          <cell r="S1876">
            <v>60520</v>
          </cell>
          <cell r="T1876">
            <v>61230</v>
          </cell>
          <cell r="U1876">
            <v>60920</v>
          </cell>
          <cell r="V1876">
            <v>62920</v>
          </cell>
          <cell r="W1876">
            <v>66970</v>
          </cell>
        </row>
        <row r="1877">
          <cell r="D1877">
            <v>62580</v>
          </cell>
          <cell r="E1877">
            <v>62310</v>
          </cell>
          <cell r="F1877">
            <v>62180</v>
          </cell>
          <cell r="G1877">
            <v>61290</v>
          </cell>
          <cell r="H1877">
            <v>62520</v>
          </cell>
          <cell r="I1877">
            <v>62570</v>
          </cell>
          <cell r="J1877">
            <v>62790</v>
          </cell>
          <cell r="K1877">
            <v>63110</v>
          </cell>
          <cell r="L1877">
            <v>64630</v>
          </cell>
          <cell r="M1877">
            <v>65810</v>
          </cell>
          <cell r="N1877">
            <v>66920</v>
          </cell>
          <cell r="O1877">
            <v>68380</v>
          </cell>
          <cell r="P1877">
            <v>67080</v>
          </cell>
          <cell r="Q1877">
            <v>67390</v>
          </cell>
          <cell r="R1877">
            <v>64970</v>
          </cell>
          <cell r="S1877">
            <v>61960</v>
          </cell>
          <cell r="T1877">
            <v>61030</v>
          </cell>
          <cell r="U1877">
            <v>61980</v>
          </cell>
          <cell r="V1877">
            <v>62890</v>
          </cell>
          <cell r="W1877">
            <v>64380</v>
          </cell>
        </row>
        <row r="1878">
          <cell r="D1878">
            <v>62800</v>
          </cell>
          <cell r="E1878">
            <v>62520</v>
          </cell>
          <cell r="F1878">
            <v>62330</v>
          </cell>
          <cell r="G1878">
            <v>62280</v>
          </cell>
          <cell r="H1878">
            <v>61390</v>
          </cell>
          <cell r="I1878">
            <v>62760</v>
          </cell>
          <cell r="J1878">
            <v>62790</v>
          </cell>
          <cell r="K1878">
            <v>62990</v>
          </cell>
          <cell r="L1878">
            <v>63250</v>
          </cell>
          <cell r="M1878">
            <v>64720</v>
          </cell>
          <cell r="N1878">
            <v>65920</v>
          </cell>
          <cell r="O1878">
            <v>67020</v>
          </cell>
          <cell r="P1878">
            <v>68480</v>
          </cell>
          <cell r="Q1878">
            <v>67200</v>
          </cell>
          <cell r="R1878">
            <v>67550</v>
          </cell>
          <cell r="S1878">
            <v>65090</v>
          </cell>
          <cell r="T1878">
            <v>62330</v>
          </cell>
          <cell r="U1878">
            <v>61630</v>
          </cell>
          <cell r="V1878">
            <v>63740</v>
          </cell>
          <cell r="W1878">
            <v>64190</v>
          </cell>
        </row>
        <row r="1879">
          <cell r="D1879">
            <v>63050</v>
          </cell>
          <cell r="E1879">
            <v>62760</v>
          </cell>
          <cell r="F1879">
            <v>62560</v>
          </cell>
          <cell r="G1879">
            <v>62460</v>
          </cell>
          <cell r="H1879">
            <v>62470</v>
          </cell>
          <cell r="I1879">
            <v>61580</v>
          </cell>
          <cell r="J1879">
            <v>62930</v>
          </cell>
          <cell r="K1879">
            <v>62940</v>
          </cell>
          <cell r="L1879">
            <v>63080</v>
          </cell>
          <cell r="M1879">
            <v>63310</v>
          </cell>
          <cell r="N1879">
            <v>64830</v>
          </cell>
          <cell r="O1879">
            <v>66020</v>
          </cell>
          <cell r="P1879">
            <v>67120</v>
          </cell>
          <cell r="Q1879">
            <v>68590</v>
          </cell>
          <cell r="R1879">
            <v>67340</v>
          </cell>
          <cell r="S1879">
            <v>67650</v>
          </cell>
          <cell r="T1879">
            <v>65440</v>
          </cell>
          <cell r="U1879">
            <v>62910</v>
          </cell>
          <cell r="V1879">
            <v>63370</v>
          </cell>
          <cell r="W1879">
            <v>64960</v>
          </cell>
        </row>
        <row r="1880">
          <cell r="D1880">
            <v>63500</v>
          </cell>
          <cell r="E1880">
            <v>62990</v>
          </cell>
          <cell r="F1880">
            <v>62790</v>
          </cell>
          <cell r="G1880">
            <v>62670</v>
          </cell>
          <cell r="H1880">
            <v>62640</v>
          </cell>
          <cell r="I1880">
            <v>62650</v>
          </cell>
          <cell r="J1880">
            <v>61730</v>
          </cell>
          <cell r="K1880">
            <v>63050</v>
          </cell>
          <cell r="L1880">
            <v>63010</v>
          </cell>
          <cell r="M1880">
            <v>63110</v>
          </cell>
          <cell r="N1880">
            <v>63470</v>
          </cell>
          <cell r="O1880">
            <v>64990</v>
          </cell>
          <cell r="P1880">
            <v>66180</v>
          </cell>
          <cell r="Q1880">
            <v>67300</v>
          </cell>
          <cell r="R1880">
            <v>68790</v>
          </cell>
          <cell r="S1880">
            <v>67440</v>
          </cell>
          <cell r="T1880">
            <v>68010</v>
          </cell>
          <cell r="U1880">
            <v>66030</v>
          </cell>
          <cell r="V1880">
            <v>64660</v>
          </cell>
          <cell r="W1880">
            <v>64600</v>
          </cell>
        </row>
        <row r="1881">
          <cell r="D1881">
            <v>64100</v>
          </cell>
          <cell r="E1881">
            <v>63460</v>
          </cell>
          <cell r="F1881">
            <v>63060</v>
          </cell>
          <cell r="G1881">
            <v>62940</v>
          </cell>
          <cell r="H1881">
            <v>62890</v>
          </cell>
          <cell r="I1881">
            <v>62810</v>
          </cell>
          <cell r="J1881">
            <v>62810</v>
          </cell>
          <cell r="K1881">
            <v>61830</v>
          </cell>
          <cell r="L1881">
            <v>63100</v>
          </cell>
          <cell r="M1881">
            <v>63020</v>
          </cell>
          <cell r="N1881">
            <v>63310</v>
          </cell>
          <cell r="O1881">
            <v>63650</v>
          </cell>
          <cell r="P1881">
            <v>65200</v>
          </cell>
          <cell r="Q1881">
            <v>66400</v>
          </cell>
          <cell r="R1881">
            <v>67540</v>
          </cell>
          <cell r="S1881">
            <v>68910</v>
          </cell>
          <cell r="T1881">
            <v>67800</v>
          </cell>
          <cell r="U1881">
            <v>68620</v>
          </cell>
          <cell r="V1881">
            <v>67800</v>
          </cell>
          <cell r="W1881">
            <v>65910</v>
          </cell>
        </row>
        <row r="1882">
          <cell r="D1882">
            <v>64310</v>
          </cell>
          <cell r="E1882">
            <v>64090</v>
          </cell>
          <cell r="F1882">
            <v>63530</v>
          </cell>
          <cell r="G1882">
            <v>63230</v>
          </cell>
          <cell r="H1882">
            <v>63180</v>
          </cell>
          <cell r="I1882">
            <v>63060</v>
          </cell>
          <cell r="J1882">
            <v>62960</v>
          </cell>
          <cell r="K1882">
            <v>62920</v>
          </cell>
          <cell r="L1882">
            <v>61870</v>
          </cell>
          <cell r="M1882">
            <v>63110</v>
          </cell>
          <cell r="N1882">
            <v>63240</v>
          </cell>
          <cell r="O1882">
            <v>63520</v>
          </cell>
          <cell r="P1882">
            <v>63870</v>
          </cell>
          <cell r="Q1882">
            <v>65440</v>
          </cell>
          <cell r="R1882">
            <v>66670</v>
          </cell>
          <cell r="S1882">
            <v>67660</v>
          </cell>
          <cell r="T1882">
            <v>69270</v>
          </cell>
          <cell r="U1882">
            <v>68400</v>
          </cell>
          <cell r="V1882">
            <v>70390</v>
          </cell>
          <cell r="W1882">
            <v>69060</v>
          </cell>
        </row>
        <row r="1883">
          <cell r="D1883">
            <v>64110</v>
          </cell>
          <cell r="E1883">
            <v>64300</v>
          </cell>
          <cell r="F1883">
            <v>64170</v>
          </cell>
          <cell r="G1883">
            <v>63690</v>
          </cell>
          <cell r="H1883">
            <v>63490</v>
          </cell>
          <cell r="I1883">
            <v>63350</v>
          </cell>
          <cell r="J1883">
            <v>63200</v>
          </cell>
          <cell r="K1883">
            <v>63070</v>
          </cell>
          <cell r="L1883">
            <v>62980</v>
          </cell>
          <cell r="M1883">
            <v>61880</v>
          </cell>
          <cell r="N1883">
            <v>63340</v>
          </cell>
          <cell r="O1883">
            <v>63460</v>
          </cell>
          <cell r="P1883">
            <v>63740</v>
          </cell>
          <cell r="Q1883">
            <v>64110</v>
          </cell>
          <cell r="R1883">
            <v>65720</v>
          </cell>
          <cell r="S1883">
            <v>66800</v>
          </cell>
          <cell r="T1883">
            <v>68030</v>
          </cell>
          <cell r="U1883">
            <v>69880</v>
          </cell>
          <cell r="V1883">
            <v>70160</v>
          </cell>
          <cell r="W1883">
            <v>71650</v>
          </cell>
        </row>
        <row r="1884">
          <cell r="D1884">
            <v>63500</v>
          </cell>
          <cell r="E1884">
            <v>64090</v>
          </cell>
          <cell r="F1884">
            <v>64370</v>
          </cell>
          <cell r="G1884">
            <v>64330</v>
          </cell>
          <cell r="H1884">
            <v>63920</v>
          </cell>
          <cell r="I1884">
            <v>63660</v>
          </cell>
          <cell r="J1884">
            <v>63500</v>
          </cell>
          <cell r="K1884">
            <v>63320</v>
          </cell>
          <cell r="L1884">
            <v>63140</v>
          </cell>
          <cell r="M1884">
            <v>63010</v>
          </cell>
          <cell r="N1884">
            <v>62100</v>
          </cell>
          <cell r="O1884">
            <v>63550</v>
          </cell>
          <cell r="P1884">
            <v>63680</v>
          </cell>
          <cell r="Q1884">
            <v>63980</v>
          </cell>
          <cell r="R1884">
            <v>64370</v>
          </cell>
          <cell r="S1884">
            <v>65850</v>
          </cell>
          <cell r="T1884">
            <v>67160</v>
          </cell>
          <cell r="U1884">
            <v>68640</v>
          </cell>
          <cell r="V1884">
            <v>71640</v>
          </cell>
          <cell r="W1884">
            <v>71410</v>
          </cell>
        </row>
        <row r="1885">
          <cell r="D1885">
            <v>62910</v>
          </cell>
          <cell r="E1885">
            <v>63490</v>
          </cell>
          <cell r="F1885">
            <v>64170</v>
          </cell>
          <cell r="G1885">
            <v>64530</v>
          </cell>
          <cell r="H1885">
            <v>64560</v>
          </cell>
          <cell r="I1885">
            <v>64080</v>
          </cell>
          <cell r="J1885">
            <v>63800</v>
          </cell>
          <cell r="K1885">
            <v>63610</v>
          </cell>
          <cell r="L1885">
            <v>63370</v>
          </cell>
          <cell r="M1885">
            <v>63150</v>
          </cell>
          <cell r="N1885">
            <v>63220</v>
          </cell>
          <cell r="O1885">
            <v>62300</v>
          </cell>
          <cell r="P1885">
            <v>63760</v>
          </cell>
          <cell r="Q1885">
            <v>63910</v>
          </cell>
          <cell r="R1885">
            <v>64230</v>
          </cell>
          <cell r="S1885">
            <v>64480</v>
          </cell>
          <cell r="T1885">
            <v>66200</v>
          </cell>
          <cell r="U1885">
            <v>67760</v>
          </cell>
          <cell r="V1885">
            <v>70390</v>
          </cell>
          <cell r="W1885">
            <v>72880</v>
          </cell>
        </row>
        <row r="1886">
          <cell r="D1886">
            <v>62590</v>
          </cell>
          <cell r="E1886">
            <v>62900</v>
          </cell>
          <cell r="F1886">
            <v>63570</v>
          </cell>
          <cell r="G1886">
            <v>64330</v>
          </cell>
          <cell r="H1886">
            <v>64770</v>
          </cell>
          <cell r="I1886">
            <v>64720</v>
          </cell>
          <cell r="J1886">
            <v>64230</v>
          </cell>
          <cell r="K1886">
            <v>63900</v>
          </cell>
          <cell r="L1886">
            <v>63660</v>
          </cell>
          <cell r="M1886">
            <v>63390</v>
          </cell>
          <cell r="N1886">
            <v>63370</v>
          </cell>
          <cell r="O1886">
            <v>63430</v>
          </cell>
          <cell r="P1886">
            <v>62520</v>
          </cell>
          <cell r="Q1886">
            <v>63990</v>
          </cell>
          <cell r="R1886">
            <v>64160</v>
          </cell>
          <cell r="S1886">
            <v>64340</v>
          </cell>
          <cell r="T1886">
            <v>64840</v>
          </cell>
          <cell r="U1886">
            <v>66800</v>
          </cell>
          <cell r="V1886">
            <v>69510</v>
          </cell>
          <cell r="W1886">
            <v>71630</v>
          </cell>
        </row>
        <row r="1887">
          <cell r="D1887">
            <v>62250</v>
          </cell>
          <cell r="E1887">
            <v>62580</v>
          </cell>
          <cell r="F1887">
            <v>62980</v>
          </cell>
          <cell r="G1887">
            <v>63740</v>
          </cell>
          <cell r="H1887">
            <v>64570</v>
          </cell>
          <cell r="I1887">
            <v>64930</v>
          </cell>
          <cell r="J1887">
            <v>64860</v>
          </cell>
          <cell r="K1887">
            <v>64330</v>
          </cell>
          <cell r="L1887">
            <v>63950</v>
          </cell>
          <cell r="M1887">
            <v>63670</v>
          </cell>
          <cell r="N1887">
            <v>63610</v>
          </cell>
          <cell r="O1887">
            <v>63580</v>
          </cell>
          <cell r="P1887">
            <v>63640</v>
          </cell>
          <cell r="Q1887">
            <v>62750</v>
          </cell>
          <cell r="R1887">
            <v>64250</v>
          </cell>
          <cell r="S1887">
            <v>64270</v>
          </cell>
          <cell r="T1887">
            <v>64700</v>
          </cell>
          <cell r="U1887">
            <v>65440</v>
          </cell>
          <cell r="V1887">
            <v>68550</v>
          </cell>
          <cell r="W1887">
            <v>70750</v>
          </cell>
        </row>
        <row r="1888">
          <cell r="D1888">
            <v>61880</v>
          </cell>
          <cell r="E1888">
            <v>62240</v>
          </cell>
          <cell r="F1888">
            <v>62670</v>
          </cell>
          <cell r="G1888">
            <v>63150</v>
          </cell>
          <cell r="H1888">
            <v>63980</v>
          </cell>
          <cell r="I1888">
            <v>64730</v>
          </cell>
          <cell r="J1888">
            <v>65070</v>
          </cell>
          <cell r="K1888">
            <v>64960</v>
          </cell>
          <cell r="L1888">
            <v>64380</v>
          </cell>
          <cell r="M1888">
            <v>63960</v>
          </cell>
          <cell r="N1888">
            <v>63890</v>
          </cell>
          <cell r="O1888">
            <v>63820</v>
          </cell>
          <cell r="P1888">
            <v>63790</v>
          </cell>
          <cell r="Q1888">
            <v>63880</v>
          </cell>
          <cell r="R1888">
            <v>63010</v>
          </cell>
          <cell r="S1888">
            <v>64360</v>
          </cell>
          <cell r="T1888">
            <v>64630</v>
          </cell>
          <cell r="U1888">
            <v>65300</v>
          </cell>
          <cell r="V1888">
            <v>67190</v>
          </cell>
          <cell r="W1888">
            <v>69790</v>
          </cell>
        </row>
        <row r="1889">
          <cell r="D1889">
            <v>61480</v>
          </cell>
          <cell r="E1889">
            <v>61870</v>
          </cell>
          <cell r="F1889">
            <v>62320</v>
          </cell>
          <cell r="G1889">
            <v>62830</v>
          </cell>
          <cell r="H1889">
            <v>63390</v>
          </cell>
          <cell r="I1889">
            <v>64130</v>
          </cell>
          <cell r="J1889">
            <v>64870</v>
          </cell>
          <cell r="K1889">
            <v>65170</v>
          </cell>
          <cell r="L1889">
            <v>65010</v>
          </cell>
          <cell r="M1889">
            <v>64400</v>
          </cell>
          <cell r="N1889">
            <v>64180</v>
          </cell>
          <cell r="O1889">
            <v>64100</v>
          </cell>
          <cell r="P1889">
            <v>64030</v>
          </cell>
          <cell r="Q1889">
            <v>64030</v>
          </cell>
          <cell r="R1889">
            <v>64130</v>
          </cell>
          <cell r="S1889">
            <v>63120</v>
          </cell>
          <cell r="T1889">
            <v>64720</v>
          </cell>
          <cell r="U1889">
            <v>65230</v>
          </cell>
          <cell r="V1889">
            <v>67050</v>
          </cell>
          <cell r="W1889">
            <v>68430</v>
          </cell>
        </row>
        <row r="1890">
          <cell r="D1890">
            <v>60960</v>
          </cell>
          <cell r="E1890">
            <v>61480</v>
          </cell>
          <cell r="F1890">
            <v>61960</v>
          </cell>
          <cell r="G1890">
            <v>62500</v>
          </cell>
          <cell r="H1890">
            <v>63080</v>
          </cell>
          <cell r="I1890">
            <v>63540</v>
          </cell>
          <cell r="J1890">
            <v>64270</v>
          </cell>
          <cell r="K1890">
            <v>64970</v>
          </cell>
          <cell r="L1890">
            <v>65220</v>
          </cell>
          <cell r="M1890">
            <v>65020</v>
          </cell>
          <cell r="N1890">
            <v>64620</v>
          </cell>
          <cell r="O1890">
            <v>64400</v>
          </cell>
          <cell r="P1890">
            <v>64320</v>
          </cell>
          <cell r="Q1890">
            <v>64270</v>
          </cell>
          <cell r="R1890">
            <v>64280</v>
          </cell>
          <cell r="S1890">
            <v>64250</v>
          </cell>
          <cell r="T1890">
            <v>63480</v>
          </cell>
          <cell r="U1890">
            <v>65310</v>
          </cell>
          <cell r="V1890">
            <v>66970</v>
          </cell>
          <cell r="W1890">
            <v>68290</v>
          </cell>
        </row>
        <row r="1891">
          <cell r="D1891">
            <v>60450</v>
          </cell>
          <cell r="E1891">
            <v>60960</v>
          </cell>
          <cell r="F1891">
            <v>61570</v>
          </cell>
          <cell r="G1891">
            <v>62140</v>
          </cell>
          <cell r="H1891">
            <v>62740</v>
          </cell>
          <cell r="I1891">
            <v>63230</v>
          </cell>
          <cell r="J1891">
            <v>63680</v>
          </cell>
          <cell r="K1891">
            <v>64370</v>
          </cell>
          <cell r="L1891">
            <v>65010</v>
          </cell>
          <cell r="M1891">
            <v>65230</v>
          </cell>
          <cell r="N1891">
            <v>65250</v>
          </cell>
          <cell r="O1891">
            <v>64830</v>
          </cell>
          <cell r="P1891">
            <v>64610</v>
          </cell>
          <cell r="Q1891">
            <v>64560</v>
          </cell>
          <cell r="R1891">
            <v>64520</v>
          </cell>
          <cell r="S1891">
            <v>64400</v>
          </cell>
          <cell r="T1891">
            <v>64600</v>
          </cell>
          <cell r="U1891">
            <v>64070</v>
          </cell>
          <cell r="V1891">
            <v>67060</v>
          </cell>
          <cell r="W1891">
            <v>68210</v>
          </cell>
        </row>
        <row r="1892">
          <cell r="D1892">
            <v>60130</v>
          </cell>
          <cell r="E1892">
            <v>60450</v>
          </cell>
          <cell r="F1892">
            <v>61050</v>
          </cell>
          <cell r="G1892">
            <v>61750</v>
          </cell>
          <cell r="H1892">
            <v>62380</v>
          </cell>
          <cell r="I1892">
            <v>62890</v>
          </cell>
          <cell r="J1892">
            <v>63370</v>
          </cell>
          <cell r="K1892">
            <v>63780</v>
          </cell>
          <cell r="L1892">
            <v>64410</v>
          </cell>
          <cell r="M1892">
            <v>65020</v>
          </cell>
          <cell r="N1892">
            <v>65450</v>
          </cell>
          <cell r="O1892">
            <v>65460</v>
          </cell>
          <cell r="P1892">
            <v>65050</v>
          </cell>
          <cell r="Q1892">
            <v>64850</v>
          </cell>
          <cell r="R1892">
            <v>64810</v>
          </cell>
          <cell r="S1892">
            <v>64640</v>
          </cell>
          <cell r="T1892">
            <v>64750</v>
          </cell>
          <cell r="U1892">
            <v>65200</v>
          </cell>
          <cell r="V1892">
            <v>65820</v>
          </cell>
          <cell r="W1892">
            <v>68300</v>
          </cell>
        </row>
        <row r="1893">
          <cell r="D1893">
            <v>60020</v>
          </cell>
          <cell r="E1893">
            <v>60140</v>
          </cell>
          <cell r="F1893">
            <v>60540</v>
          </cell>
          <cell r="G1893">
            <v>61220</v>
          </cell>
          <cell r="H1893">
            <v>62000</v>
          </cell>
          <cell r="I1893">
            <v>62540</v>
          </cell>
          <cell r="J1893">
            <v>63030</v>
          </cell>
          <cell r="K1893">
            <v>63470</v>
          </cell>
          <cell r="L1893">
            <v>63820</v>
          </cell>
          <cell r="M1893">
            <v>64420</v>
          </cell>
          <cell r="N1893">
            <v>65250</v>
          </cell>
          <cell r="O1893">
            <v>65660</v>
          </cell>
          <cell r="P1893">
            <v>65680</v>
          </cell>
          <cell r="Q1893">
            <v>65290</v>
          </cell>
          <cell r="R1893">
            <v>65110</v>
          </cell>
          <cell r="S1893">
            <v>64930</v>
          </cell>
          <cell r="T1893">
            <v>64990</v>
          </cell>
          <cell r="U1893">
            <v>65350</v>
          </cell>
          <cell r="V1893">
            <v>66950</v>
          </cell>
          <cell r="W1893">
            <v>67060</v>
          </cell>
        </row>
        <row r="1894">
          <cell r="D1894">
            <v>60100</v>
          </cell>
          <cell r="E1894">
            <v>60020</v>
          </cell>
          <cell r="F1894">
            <v>60230</v>
          </cell>
          <cell r="G1894">
            <v>60720</v>
          </cell>
          <cell r="H1894">
            <v>61470</v>
          </cell>
          <cell r="I1894">
            <v>62150</v>
          </cell>
          <cell r="J1894">
            <v>62670</v>
          </cell>
          <cell r="K1894">
            <v>63130</v>
          </cell>
          <cell r="L1894">
            <v>63510</v>
          </cell>
          <cell r="M1894">
            <v>63830</v>
          </cell>
          <cell r="N1894">
            <v>64640</v>
          </cell>
          <cell r="O1894">
            <v>65460</v>
          </cell>
          <cell r="P1894">
            <v>65880</v>
          </cell>
          <cell r="Q1894">
            <v>65920</v>
          </cell>
          <cell r="R1894">
            <v>65540</v>
          </cell>
          <cell r="S1894">
            <v>65220</v>
          </cell>
          <cell r="T1894">
            <v>65280</v>
          </cell>
          <cell r="U1894">
            <v>65590</v>
          </cell>
          <cell r="V1894">
            <v>67100</v>
          </cell>
          <cell r="W1894">
            <v>68180</v>
          </cell>
        </row>
        <row r="1895">
          <cell r="D1895">
            <v>60050</v>
          </cell>
          <cell r="E1895">
            <v>60110</v>
          </cell>
          <cell r="F1895">
            <v>60120</v>
          </cell>
          <cell r="G1895">
            <v>60410</v>
          </cell>
          <cell r="H1895">
            <v>60970</v>
          </cell>
          <cell r="I1895">
            <v>61620</v>
          </cell>
          <cell r="J1895">
            <v>62280</v>
          </cell>
          <cell r="K1895">
            <v>62770</v>
          </cell>
          <cell r="L1895">
            <v>63170</v>
          </cell>
          <cell r="M1895">
            <v>63520</v>
          </cell>
          <cell r="N1895">
            <v>64060</v>
          </cell>
          <cell r="O1895">
            <v>64860</v>
          </cell>
          <cell r="P1895">
            <v>65680</v>
          </cell>
          <cell r="Q1895">
            <v>66120</v>
          </cell>
          <cell r="R1895">
            <v>66170</v>
          </cell>
          <cell r="S1895">
            <v>65660</v>
          </cell>
          <cell r="T1895">
            <v>65580</v>
          </cell>
          <cell r="U1895">
            <v>65880</v>
          </cell>
          <cell r="V1895">
            <v>67340</v>
          </cell>
          <cell r="W1895">
            <v>68330</v>
          </cell>
        </row>
        <row r="1896">
          <cell r="D1896">
            <v>59860</v>
          </cell>
          <cell r="E1896">
            <v>60060</v>
          </cell>
          <cell r="F1896">
            <v>60210</v>
          </cell>
          <cell r="G1896">
            <v>60300</v>
          </cell>
          <cell r="H1896">
            <v>60670</v>
          </cell>
          <cell r="I1896">
            <v>61120</v>
          </cell>
          <cell r="J1896">
            <v>61760</v>
          </cell>
          <cell r="K1896">
            <v>62380</v>
          </cell>
          <cell r="L1896">
            <v>62810</v>
          </cell>
          <cell r="M1896">
            <v>63180</v>
          </cell>
          <cell r="N1896">
            <v>63740</v>
          </cell>
          <cell r="O1896">
            <v>64270</v>
          </cell>
          <cell r="P1896">
            <v>65080</v>
          </cell>
          <cell r="Q1896">
            <v>65920</v>
          </cell>
          <cell r="R1896">
            <v>66380</v>
          </cell>
          <cell r="S1896">
            <v>66290</v>
          </cell>
          <cell r="T1896">
            <v>66010</v>
          </cell>
          <cell r="U1896">
            <v>66170</v>
          </cell>
          <cell r="V1896">
            <v>67630</v>
          </cell>
          <cell r="W1896">
            <v>68580</v>
          </cell>
        </row>
        <row r="1897">
          <cell r="D1897">
            <v>59880</v>
          </cell>
          <cell r="E1897">
            <v>59880</v>
          </cell>
          <cell r="F1897">
            <v>60160</v>
          </cell>
          <cell r="G1897">
            <v>60390</v>
          </cell>
          <cell r="H1897">
            <v>60560</v>
          </cell>
          <cell r="I1897">
            <v>60820</v>
          </cell>
          <cell r="J1897">
            <v>61250</v>
          </cell>
          <cell r="K1897">
            <v>61850</v>
          </cell>
          <cell r="L1897">
            <v>62420</v>
          </cell>
          <cell r="M1897">
            <v>62810</v>
          </cell>
          <cell r="N1897">
            <v>63400</v>
          </cell>
          <cell r="O1897">
            <v>63960</v>
          </cell>
          <cell r="P1897">
            <v>64500</v>
          </cell>
          <cell r="Q1897">
            <v>65320</v>
          </cell>
          <cell r="R1897">
            <v>66180</v>
          </cell>
          <cell r="S1897">
            <v>66500</v>
          </cell>
          <cell r="T1897">
            <v>66640</v>
          </cell>
          <cell r="U1897">
            <v>66610</v>
          </cell>
          <cell r="V1897">
            <v>67920</v>
          </cell>
          <cell r="W1897">
            <v>68860</v>
          </cell>
        </row>
        <row r="1898">
          <cell r="D1898">
            <v>60090</v>
          </cell>
          <cell r="E1898">
            <v>59890</v>
          </cell>
          <cell r="F1898">
            <v>59980</v>
          </cell>
          <cell r="G1898">
            <v>60340</v>
          </cell>
          <cell r="H1898">
            <v>60650</v>
          </cell>
          <cell r="I1898">
            <v>60710</v>
          </cell>
          <cell r="J1898">
            <v>60950</v>
          </cell>
          <cell r="K1898">
            <v>61350</v>
          </cell>
          <cell r="L1898">
            <v>61890</v>
          </cell>
          <cell r="M1898">
            <v>62420</v>
          </cell>
          <cell r="N1898">
            <v>63040</v>
          </cell>
          <cell r="O1898">
            <v>63620</v>
          </cell>
          <cell r="P1898">
            <v>64180</v>
          </cell>
          <cell r="Q1898">
            <v>64740</v>
          </cell>
          <cell r="R1898">
            <v>65580</v>
          </cell>
          <cell r="S1898">
            <v>66300</v>
          </cell>
          <cell r="T1898">
            <v>66850</v>
          </cell>
          <cell r="U1898">
            <v>67240</v>
          </cell>
          <cell r="V1898">
            <v>68350</v>
          </cell>
          <cell r="W1898">
            <v>69160</v>
          </cell>
        </row>
        <row r="1899">
          <cell r="D1899">
            <v>60500</v>
          </cell>
          <cell r="E1899">
            <v>60100</v>
          </cell>
          <cell r="F1899">
            <v>59990</v>
          </cell>
          <cell r="G1899">
            <v>60160</v>
          </cell>
          <cell r="H1899">
            <v>60600</v>
          </cell>
          <cell r="I1899">
            <v>60800</v>
          </cell>
          <cell r="J1899">
            <v>60840</v>
          </cell>
          <cell r="K1899">
            <v>61040</v>
          </cell>
          <cell r="L1899">
            <v>61390</v>
          </cell>
          <cell r="M1899">
            <v>61900</v>
          </cell>
          <cell r="N1899">
            <v>62650</v>
          </cell>
          <cell r="O1899">
            <v>63260</v>
          </cell>
          <cell r="P1899">
            <v>63840</v>
          </cell>
          <cell r="Q1899">
            <v>64420</v>
          </cell>
          <cell r="R1899">
            <v>65000</v>
          </cell>
          <cell r="S1899">
            <v>65700</v>
          </cell>
          <cell r="T1899">
            <v>66650</v>
          </cell>
          <cell r="U1899">
            <v>67450</v>
          </cell>
          <cell r="V1899">
            <v>68990</v>
          </cell>
          <cell r="W1899">
            <v>69590</v>
          </cell>
        </row>
      </sheetData>
      <sheetData sheetId="1"/>
      <sheetData sheetId="2"/>
      <sheetData sheetId="3"/>
      <sheetData sheetId="4"/>
      <sheetData sheetId="5"/>
      <sheetData sheetId="6" refreshError="1"/>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1. Demo - DHB Devolved"/>
      <sheetName val="2. Weighted Cst Wgt Tables"/>
      <sheetName val="3. National Population"/>
      <sheetName val="4. Population Projections"/>
      <sheetName val="DHB DEMO MODEL 2018 V1.0"/>
      <sheetName val="1__Demo_-_DHB_Devolved"/>
      <sheetName val="2__Weighted_Cst_Wgt_Tables"/>
      <sheetName val="3__National_Population"/>
      <sheetName val="4__Population_Projections"/>
      <sheetName val="DHB_DEMO_MODEL_2018_V1_0"/>
    </sheetNames>
    <sheetDataSet>
      <sheetData sheetId="0"/>
      <sheetData sheetId="1">
        <row r="8">
          <cell r="D8">
            <v>2.9295302459547257E-2</v>
          </cell>
          <cell r="E8">
            <v>3.5378792641817425E-2</v>
          </cell>
          <cell r="F8">
            <v>3.4621154019178535E-2</v>
          </cell>
          <cell r="G8">
            <v>3.028331572880516E-2</v>
          </cell>
          <cell r="H8">
            <v>2.7485785888241132E-2</v>
          </cell>
          <cell r="I8">
            <v>2.7916253685869474E-2</v>
          </cell>
          <cell r="J8">
            <v>2.796081460322819E-2</v>
          </cell>
          <cell r="K8">
            <v>2.5062922789238273E-2</v>
          </cell>
          <cell r="L8">
            <v>2.2793463279745962E-2</v>
          </cell>
          <cell r="M8">
            <v>2.1799309516056908E-2</v>
          </cell>
          <cell r="N8">
            <v>2.1991750832804913E-2</v>
          </cell>
          <cell r="O8">
            <v>2.3061102715332682E-2</v>
          </cell>
          <cell r="P8">
            <v>2.2346338582717173E-2</v>
          </cell>
          <cell r="Q8">
            <v>2.2317721092100617E-2</v>
          </cell>
          <cell r="R8">
            <v>2.139579174314532E-2</v>
          </cell>
          <cell r="S8">
            <v>2.1079983056151885E-2</v>
          </cell>
          <cell r="T8">
            <v>2.1058710022179961E-2</v>
          </cell>
          <cell r="U8">
            <v>2.2142832053362538E-2</v>
          </cell>
          <cell r="V8">
            <v>2.119151131768815E-2</v>
          </cell>
        </row>
        <row r="9">
          <cell r="D9">
            <v>1.8954577879799483E-2</v>
          </cell>
          <cell r="E9">
            <v>2.5965108167148809E-2</v>
          </cell>
          <cell r="F9">
            <v>2.8267227157437791E-2</v>
          </cell>
          <cell r="G9">
            <v>2.7466494784079032E-2</v>
          </cell>
          <cell r="H9">
            <v>2.6901547130531611E-2</v>
          </cell>
          <cell r="I9">
            <v>2.3308692476415871E-2</v>
          </cell>
          <cell r="J9">
            <v>2.2494502730001864E-2</v>
          </cell>
          <cell r="K9">
            <v>1.8896803884721702E-2</v>
          </cell>
          <cell r="L9">
            <v>1.8429648065529047E-2</v>
          </cell>
          <cell r="M9">
            <v>1.8973886030972498E-2</v>
          </cell>
          <cell r="N9">
            <v>1.9588609486467456E-2</v>
          </cell>
          <cell r="O9">
            <v>2.008064033256618E-2</v>
          </cell>
          <cell r="P9">
            <v>2.1568439626697966E-2</v>
          </cell>
          <cell r="Q9">
            <v>1.9414318888245408E-2</v>
          </cell>
          <cell r="R9">
            <v>1.8462528762421382E-2</v>
          </cell>
          <cell r="S9">
            <v>1.8711600574568665E-2</v>
          </cell>
          <cell r="T9">
            <v>1.8394449135123336E-2</v>
          </cell>
          <cell r="U9">
            <v>1.9992857710517953E-2</v>
          </cell>
          <cell r="V9">
            <v>1.8476125719822267E-2</v>
          </cell>
        </row>
        <row r="10">
          <cell r="D10">
            <v>2.485707170430973E-2</v>
          </cell>
          <cell r="E10">
            <v>2.7349961698858838E-2</v>
          </cell>
          <cell r="F10">
            <v>2.8158645055411879E-2</v>
          </cell>
          <cell r="G10">
            <v>2.6979877134458041E-2</v>
          </cell>
          <cell r="H10">
            <v>2.554823028288089E-2</v>
          </cell>
          <cell r="I10">
            <v>2.3926894920756281E-2</v>
          </cell>
          <cell r="J10">
            <v>2.3023824172456298E-2</v>
          </cell>
          <cell r="K10">
            <v>2.1249090098022005E-2</v>
          </cell>
          <cell r="L10">
            <v>1.9309863553958584E-2</v>
          </cell>
          <cell r="M10">
            <v>1.8647024750312768E-2</v>
          </cell>
          <cell r="N10">
            <v>1.9999615387828129E-2</v>
          </cell>
          <cell r="O10">
            <v>2.1401550023461891E-2</v>
          </cell>
          <cell r="P10">
            <v>2.2445822054150133E-2</v>
          </cell>
          <cell r="Q10">
            <v>2.1007849189923711E-2</v>
          </cell>
          <cell r="R10">
            <v>1.9285884143341425E-2</v>
          </cell>
          <cell r="S10">
            <v>1.9944086991167564E-2</v>
          </cell>
          <cell r="T10">
            <v>2.0960828477118776E-2</v>
          </cell>
          <cell r="U10">
            <v>2.176802249193055E-2</v>
          </cell>
          <cell r="V10">
            <v>2.0479497756547893E-2</v>
          </cell>
        </row>
        <row r="11">
          <cell r="D11">
            <v>1.8175196136836602E-2</v>
          </cell>
          <cell r="E11">
            <v>2.2188498229363196E-2</v>
          </cell>
          <cell r="F11">
            <v>2.5190176532459807E-2</v>
          </cell>
          <cell r="G11">
            <v>2.5223892996442121E-2</v>
          </cell>
          <cell r="H11">
            <v>2.2789770685257782E-2</v>
          </cell>
          <cell r="I11">
            <v>2.0574093323751486E-2</v>
          </cell>
          <cell r="J11">
            <v>2.0077205973204615E-2</v>
          </cell>
          <cell r="K11">
            <v>1.8678939455754051E-2</v>
          </cell>
          <cell r="L11">
            <v>1.7768580757604013E-2</v>
          </cell>
          <cell r="M11">
            <v>1.7006205722730927E-2</v>
          </cell>
          <cell r="N11">
            <v>1.8393155392086635E-2</v>
          </cell>
          <cell r="O11">
            <v>1.8047974439979297E-2</v>
          </cell>
          <cell r="P11">
            <v>1.9913222329271507E-2</v>
          </cell>
          <cell r="Q11">
            <v>1.7975089743889061E-2</v>
          </cell>
          <cell r="R11">
            <v>1.8447211579421419E-2</v>
          </cell>
          <cell r="S11">
            <v>1.7963882556564226E-2</v>
          </cell>
          <cell r="T11">
            <v>1.8396117274107393E-2</v>
          </cell>
          <cell r="U11">
            <v>1.8997854967558014E-2</v>
          </cell>
          <cell r="V11">
            <v>1.8811194491495487E-2</v>
          </cell>
        </row>
        <row r="12">
          <cell r="D12">
            <v>2.8972865160885819E-2</v>
          </cell>
          <cell r="E12">
            <v>2.9079144559986947E-2</v>
          </cell>
          <cell r="F12">
            <v>2.9618357577738896E-2</v>
          </cell>
          <cell r="G12">
            <v>2.9098421609171643E-2</v>
          </cell>
          <cell r="H12">
            <v>2.8205818211323175E-2</v>
          </cell>
          <cell r="I12">
            <v>2.8178896431134692E-2</v>
          </cell>
          <cell r="J12">
            <v>2.6585110635725995E-2</v>
          </cell>
          <cell r="K12">
            <v>2.4372028060851481E-2</v>
          </cell>
          <cell r="L12">
            <v>2.3330857564194618E-2</v>
          </cell>
          <cell r="M12">
            <v>2.3306296997434028E-2</v>
          </cell>
          <cell r="N12">
            <v>2.3472975999333734E-2</v>
          </cell>
          <cell r="O12">
            <v>2.3427095089914474E-2</v>
          </cell>
          <cell r="P12">
            <v>2.3442440613308468E-2</v>
          </cell>
          <cell r="Q12">
            <v>2.2597367154859382E-2</v>
          </cell>
          <cell r="R12">
            <v>2.1905023303895765E-2</v>
          </cell>
          <cell r="S12">
            <v>2.1754945537429959E-2</v>
          </cell>
          <cell r="T12">
            <v>2.1663114643586834E-2</v>
          </cell>
          <cell r="U12">
            <v>2.2054493636977535E-2</v>
          </cell>
          <cell r="V12">
            <v>2.152108877271397E-2</v>
          </cell>
        </row>
        <row r="13">
          <cell r="D13">
            <v>1.2419807180275022E-2</v>
          </cell>
          <cell r="E13">
            <v>1.4262836535015477E-2</v>
          </cell>
          <cell r="F13">
            <v>2.0754001921946985E-2</v>
          </cell>
          <cell r="G13">
            <v>2.2401839993820838E-2</v>
          </cell>
          <cell r="H13">
            <v>1.7219591202480622E-2</v>
          </cell>
          <cell r="I13">
            <v>1.8496139460873362E-2</v>
          </cell>
          <cell r="J13">
            <v>1.7217013190476083E-2</v>
          </cell>
          <cell r="K13">
            <v>1.6882603598479928E-2</v>
          </cell>
          <cell r="L13">
            <v>1.5316527959926551E-2</v>
          </cell>
          <cell r="M13">
            <v>1.5009873562034315E-2</v>
          </cell>
          <cell r="N13">
            <v>1.6431335311851925E-2</v>
          </cell>
          <cell r="O13">
            <v>1.6080524899801718E-2</v>
          </cell>
          <cell r="P13">
            <v>1.8459073963651873E-2</v>
          </cell>
          <cell r="Q13">
            <v>1.7199115835565104E-2</v>
          </cell>
          <cell r="R13">
            <v>1.6154248741089727E-2</v>
          </cell>
          <cell r="S13">
            <v>1.5242119095882689E-2</v>
          </cell>
          <cell r="T13">
            <v>1.532906364760378E-2</v>
          </cell>
          <cell r="U13">
            <v>1.6794629131806627E-2</v>
          </cell>
          <cell r="V13">
            <v>1.5705254099638744E-2</v>
          </cell>
        </row>
        <row r="14">
          <cell r="D14">
            <v>1.0845643767593005E-2</v>
          </cell>
          <cell r="E14">
            <v>1.670222318159631E-2</v>
          </cell>
          <cell r="F14">
            <v>2.1467447709665244E-2</v>
          </cell>
          <cell r="G14">
            <v>1.9435441553275146E-2</v>
          </cell>
          <cell r="H14">
            <v>1.8395012590273652E-2</v>
          </cell>
          <cell r="I14">
            <v>1.865309126105541E-2</v>
          </cell>
          <cell r="J14">
            <v>1.5801420991361059E-2</v>
          </cell>
          <cell r="K14">
            <v>1.6631115012908371E-2</v>
          </cell>
          <cell r="L14">
            <v>1.3789186402736631E-2</v>
          </cell>
          <cell r="M14">
            <v>1.357897038384781E-2</v>
          </cell>
          <cell r="N14">
            <v>1.5914988359964521E-2</v>
          </cell>
          <cell r="O14">
            <v>1.5277492381931435E-2</v>
          </cell>
          <cell r="P14">
            <v>1.8013615708232233E-2</v>
          </cell>
          <cell r="Q14">
            <v>1.620864676465894E-2</v>
          </cell>
          <cell r="R14">
            <v>1.5238423405607771E-2</v>
          </cell>
          <cell r="S14">
            <v>1.6065394150900802E-2</v>
          </cell>
          <cell r="T14">
            <v>1.579857643593674E-2</v>
          </cell>
          <cell r="U14">
            <v>1.5530952930459474E-2</v>
          </cell>
          <cell r="V14">
            <v>1.5639515590647912E-2</v>
          </cell>
        </row>
        <row r="15">
          <cell r="D15">
            <v>1.2564411949048226E-2</v>
          </cell>
          <cell r="E15">
            <v>1.8866465651652176E-2</v>
          </cell>
          <cell r="F15">
            <v>2.5335274371947492E-2</v>
          </cell>
          <cell r="G15">
            <v>1.9194692693352167E-2</v>
          </cell>
          <cell r="H15">
            <v>1.8052301927023784E-2</v>
          </cell>
          <cell r="I15">
            <v>1.9051902281714828E-2</v>
          </cell>
          <cell r="J15">
            <v>1.6562305269335997E-2</v>
          </cell>
          <cell r="K15">
            <v>1.4893264845267318E-2</v>
          </cell>
          <cell r="L15">
            <v>1.553119004186243E-2</v>
          </cell>
          <cell r="M15">
            <v>1.2563998009003763E-2</v>
          </cell>
          <cell r="N15">
            <v>1.4510871040744E-2</v>
          </cell>
          <cell r="O15">
            <v>1.6126677896098895E-2</v>
          </cell>
          <cell r="P15">
            <v>1.8417243305776099E-2</v>
          </cell>
          <cell r="Q15">
            <v>1.468251457699643E-2</v>
          </cell>
          <cell r="R15">
            <v>1.4896478559266013E-2</v>
          </cell>
          <cell r="S15">
            <v>1.2577040185668187E-2</v>
          </cell>
          <cell r="T15">
            <v>1.6019091920731698E-2</v>
          </cell>
          <cell r="U15">
            <v>1.4062702220099865E-2</v>
          </cell>
          <cell r="V15">
            <v>1.4625691119987572E-2</v>
          </cell>
        </row>
        <row r="16">
          <cell r="D16">
            <v>1.3404744704137217E-2</v>
          </cell>
          <cell r="E16">
            <v>1.7504987584502141E-2</v>
          </cell>
          <cell r="F16">
            <v>2.0289211592724676E-2</v>
          </cell>
          <cell r="G16">
            <v>2.1986096589428072E-2</v>
          </cell>
          <cell r="H16">
            <v>1.9859412273117494E-2</v>
          </cell>
          <cell r="I16">
            <v>1.8194597616999264E-2</v>
          </cell>
          <cell r="J16">
            <v>1.704231606202633E-2</v>
          </cell>
          <cell r="K16">
            <v>1.5478295054122571E-2</v>
          </cell>
          <cell r="L16">
            <v>1.552815510234562E-2</v>
          </cell>
          <cell r="M16">
            <v>1.6326827808566202E-2</v>
          </cell>
          <cell r="N16">
            <v>1.5802835609934673E-2</v>
          </cell>
          <cell r="O16">
            <v>1.5188371531138722E-2</v>
          </cell>
          <cell r="P16">
            <v>1.7582071299447222E-2</v>
          </cell>
          <cell r="Q16">
            <v>1.7408446514874054E-2</v>
          </cell>
          <cell r="R16">
            <v>1.4002754488040114E-2</v>
          </cell>
          <cell r="S16">
            <v>1.7523948754107899E-2</v>
          </cell>
          <cell r="T16">
            <v>1.4565071641114091E-2</v>
          </cell>
          <cell r="U16">
            <v>1.6584688658191293E-2</v>
          </cell>
          <cell r="V16">
            <v>1.4931299875263537E-2</v>
          </cell>
        </row>
        <row r="17">
          <cell r="D17">
            <v>2.1179609503066965E-2</v>
          </cell>
          <cell r="E17">
            <v>2.6204394117230301E-2</v>
          </cell>
          <cell r="F17">
            <v>2.645811134309084E-2</v>
          </cell>
          <cell r="G17">
            <v>2.8484505840089991E-2</v>
          </cell>
          <cell r="H17">
            <v>2.4356150916602148E-2</v>
          </cell>
          <cell r="I17">
            <v>2.3104271962345102E-2</v>
          </cell>
          <cell r="J17">
            <v>2.2741020074897644E-2</v>
          </cell>
          <cell r="K17">
            <v>2.1786598969613769E-2</v>
          </cell>
          <cell r="L17">
            <v>2.0656066096158998E-2</v>
          </cell>
          <cell r="M17">
            <v>2.0673528533523999E-2</v>
          </cell>
          <cell r="N17">
            <v>2.1017402398776586E-2</v>
          </cell>
          <cell r="O17">
            <v>2.1324578011213902E-2</v>
          </cell>
          <cell r="P17">
            <v>2.3513566262697072E-2</v>
          </cell>
          <cell r="Q17">
            <v>2.2085953798650637E-2</v>
          </cell>
          <cell r="R17">
            <v>1.8705213052059078E-2</v>
          </cell>
          <cell r="S17">
            <v>2.0792927834714092E-2</v>
          </cell>
          <cell r="T17">
            <v>1.95147437236729E-2</v>
          </cell>
          <cell r="U17">
            <v>2.148627457375718E-2</v>
          </cell>
          <cell r="V17">
            <v>2.0145294659636548E-2</v>
          </cell>
        </row>
        <row r="18">
          <cell r="D18">
            <v>1.566922947294902E-2</v>
          </cell>
          <cell r="E18">
            <v>2.3752535702382005E-2</v>
          </cell>
          <cell r="F18">
            <v>2.8817020234625179E-2</v>
          </cell>
          <cell r="G18">
            <v>3.0600546099176285E-2</v>
          </cell>
          <cell r="H18">
            <v>2.7211507447328254E-2</v>
          </cell>
          <cell r="I18">
            <v>2.3850246555251919E-2</v>
          </cell>
          <cell r="J18">
            <v>2.0012104510028772E-2</v>
          </cell>
          <cell r="K18">
            <v>2.1247880772585326E-2</v>
          </cell>
          <cell r="L18">
            <v>1.9355258919439899E-2</v>
          </cell>
          <cell r="M18">
            <v>1.7676724997827797E-2</v>
          </cell>
          <cell r="N18">
            <v>1.9646104058821834E-2</v>
          </cell>
          <cell r="O18">
            <v>2.0292318574755441E-2</v>
          </cell>
          <cell r="P18">
            <v>2.0909819836752774E-2</v>
          </cell>
          <cell r="Q18">
            <v>2.0397202298279904E-2</v>
          </cell>
          <cell r="R18">
            <v>1.6698526705308137E-2</v>
          </cell>
          <cell r="S18">
            <v>1.8546883565874639E-2</v>
          </cell>
          <cell r="T18">
            <v>1.8335098793460514E-2</v>
          </cell>
          <cell r="U18">
            <v>1.8544338726228515E-2</v>
          </cell>
          <cell r="V18">
            <v>1.8437701239068627E-2</v>
          </cell>
        </row>
        <row r="19">
          <cell r="D19">
            <v>2.0305455722412491E-2</v>
          </cell>
          <cell r="E19">
            <v>1.6855284607983467E-2</v>
          </cell>
          <cell r="F19">
            <v>2.1771186520768149E-2</v>
          </cell>
          <cell r="G19">
            <v>1.4542902112620215E-2</v>
          </cell>
          <cell r="H19">
            <v>1.6500788878227368E-2</v>
          </cell>
          <cell r="I19">
            <v>1.7526880697208425E-2</v>
          </cell>
          <cell r="J19">
            <v>1.4418027480573414E-2</v>
          </cell>
          <cell r="K19">
            <v>2.0389032460648826E-2</v>
          </cell>
          <cell r="L19">
            <v>1.2210883156163366E-2</v>
          </cell>
          <cell r="M19">
            <v>1.8573187889785459E-2</v>
          </cell>
          <cell r="N19">
            <v>1.2417721892750144E-2</v>
          </cell>
          <cell r="O19">
            <v>1.7617846636813539E-2</v>
          </cell>
          <cell r="P19">
            <v>1.6707586489809634E-2</v>
          </cell>
          <cell r="Q19">
            <v>1.8759971448200075E-2</v>
          </cell>
          <cell r="R19">
            <v>1.611922178728542E-2</v>
          </cell>
          <cell r="S19">
            <v>1.3380833229886147E-2</v>
          </cell>
          <cell r="T19">
            <v>1.5830673725756306E-2</v>
          </cell>
          <cell r="U19">
            <v>1.4789855316922118E-2</v>
          </cell>
          <cell r="V19">
            <v>1.9916213941065797E-2</v>
          </cell>
        </row>
        <row r="20">
          <cell r="D20">
            <v>1.6626289830563357E-2</v>
          </cell>
          <cell r="E20">
            <v>1.9871509639313167E-2</v>
          </cell>
          <cell r="F20">
            <v>2.3100375239398785E-2</v>
          </cell>
          <cell r="G20">
            <v>2.277329037205611E-2</v>
          </cell>
          <cell r="H20">
            <v>2.2068107879760435E-2</v>
          </cell>
          <cell r="I20">
            <v>1.9650175973068063E-2</v>
          </cell>
          <cell r="J20">
            <v>1.8309016648193621E-2</v>
          </cell>
          <cell r="K20">
            <v>1.6178901708262972E-2</v>
          </cell>
          <cell r="L20">
            <v>1.5239602386480033E-2</v>
          </cell>
          <cell r="M20">
            <v>1.4164698876758308E-2</v>
          </cell>
          <cell r="N20">
            <v>1.5805319245486116E-2</v>
          </cell>
          <cell r="O20">
            <v>1.6575235697690927E-2</v>
          </cell>
          <cell r="P20">
            <v>1.8549660732731121E-2</v>
          </cell>
          <cell r="Q20">
            <v>1.7883695354645956E-2</v>
          </cell>
          <cell r="R20">
            <v>1.58006534500299E-2</v>
          </cell>
          <cell r="S20">
            <v>1.561169982187427E-2</v>
          </cell>
          <cell r="T20">
            <v>1.6049195687325879E-2</v>
          </cell>
          <cell r="U20">
            <v>1.7664649161700074E-2</v>
          </cell>
          <cell r="V20">
            <v>1.7359273753440263E-2</v>
          </cell>
        </row>
        <row r="21">
          <cell r="D21">
            <v>1.1711159481146982E-2</v>
          </cell>
          <cell r="E21">
            <v>1.3162669696229479E-2</v>
          </cell>
          <cell r="F21">
            <v>1.9309029487448948E-2</v>
          </cell>
          <cell r="G21">
            <v>2.0016279235511858E-2</v>
          </cell>
          <cell r="H21">
            <v>1.6847249811280163E-2</v>
          </cell>
          <cell r="I21">
            <v>1.6899774711166993E-2</v>
          </cell>
          <cell r="J21">
            <v>1.3571614989464686E-2</v>
          </cell>
          <cell r="K21">
            <v>1.4559196886273496E-2</v>
          </cell>
          <cell r="L21">
            <v>1.5917624560191523E-2</v>
          </cell>
          <cell r="M21">
            <v>1.2107476651626037E-2</v>
          </cell>
          <cell r="N21">
            <v>1.6435129925316261E-2</v>
          </cell>
          <cell r="O21">
            <v>1.2847749982018097E-2</v>
          </cell>
          <cell r="P21">
            <v>1.7334182792473118E-2</v>
          </cell>
          <cell r="Q21">
            <v>1.6148128337351464E-2</v>
          </cell>
          <cell r="R21">
            <v>1.4950569635536093E-2</v>
          </cell>
          <cell r="S21">
            <v>1.1544007567834802E-2</v>
          </cell>
          <cell r="T21">
            <v>1.3468306212373715E-2</v>
          </cell>
          <cell r="U21">
            <v>1.6198251036142253E-2</v>
          </cell>
          <cell r="V21">
            <v>1.335267652923644E-2</v>
          </cell>
        </row>
        <row r="22">
          <cell r="D22">
            <v>1.4422896107760819E-2</v>
          </cell>
          <cell r="E22">
            <v>1.1529760008383017E-2</v>
          </cell>
          <cell r="F22">
            <v>1.7359508506517018E-2</v>
          </cell>
          <cell r="G22">
            <v>1.9390815942461614E-2</v>
          </cell>
          <cell r="H22">
            <v>2.0723546711823859E-2</v>
          </cell>
          <cell r="I22">
            <v>1.6217715342159433E-2</v>
          </cell>
          <cell r="J22">
            <v>1.3448266500430517E-2</v>
          </cell>
          <cell r="K22">
            <v>1.5367050483102496E-2</v>
          </cell>
          <cell r="L22">
            <v>1.5053540664984322E-2</v>
          </cell>
          <cell r="M22">
            <v>1.5647908951089251E-2</v>
          </cell>
          <cell r="N22">
            <v>1.410123550935749E-2</v>
          </cell>
          <cell r="O22">
            <v>1.6621919673047714E-2</v>
          </cell>
          <cell r="P22">
            <v>1.7104954814402884E-2</v>
          </cell>
          <cell r="Q22">
            <v>1.7058115676721997E-2</v>
          </cell>
          <cell r="R22">
            <v>1.5942825529608129E-2</v>
          </cell>
          <cell r="S22">
            <v>1.6918719548550731E-2</v>
          </cell>
          <cell r="T22">
            <v>1.5668589596723237E-2</v>
          </cell>
          <cell r="U22">
            <v>1.685541075474184E-2</v>
          </cell>
          <cell r="V22">
            <v>1.5299534804791071E-2</v>
          </cell>
        </row>
        <row r="23">
          <cell r="D23">
            <v>2.0730771155436534E-2</v>
          </cell>
          <cell r="E23">
            <v>2.5464723496640307E-2</v>
          </cell>
          <cell r="F23">
            <v>2.9525684507342387E-2</v>
          </cell>
          <cell r="G23">
            <v>2.8050378440437118E-2</v>
          </cell>
          <cell r="H23">
            <v>2.4334668846273111E-2</v>
          </cell>
          <cell r="I23">
            <v>2.3354466494669657E-2</v>
          </cell>
          <cell r="J23">
            <v>2.2583054680978654E-2</v>
          </cell>
          <cell r="K23">
            <v>2.1340717345275539E-2</v>
          </cell>
          <cell r="L23">
            <v>1.942053272167743E-2</v>
          </cell>
          <cell r="M23">
            <v>1.8990672980757628E-2</v>
          </cell>
          <cell r="N23">
            <v>1.9477439015778364E-2</v>
          </cell>
          <cell r="O23">
            <v>2.0508736194150279E-2</v>
          </cell>
          <cell r="P23">
            <v>2.1499367863115681E-2</v>
          </cell>
          <cell r="Q23">
            <v>2.0454017958343007E-2</v>
          </cell>
          <cell r="R23">
            <v>1.938701963003675E-2</v>
          </cell>
          <cell r="S23">
            <v>1.9042089434833764E-2</v>
          </cell>
          <cell r="T23">
            <v>1.9628179400083878E-2</v>
          </cell>
          <cell r="U23">
            <v>1.9665545035714826E-2</v>
          </cell>
          <cell r="V23">
            <v>1.9526942711501016E-2</v>
          </cell>
        </row>
        <row r="24">
          <cell r="D24">
            <v>1.3193139884289051E-2</v>
          </cell>
          <cell r="E24">
            <v>1.8663653883080222E-2</v>
          </cell>
          <cell r="F24">
            <v>2.4685001937412521E-2</v>
          </cell>
          <cell r="G24">
            <v>3.0090999306426669E-2</v>
          </cell>
          <cell r="H24">
            <v>2.9491486015623014E-2</v>
          </cell>
          <cell r="I24">
            <v>2.1914937711608795E-2</v>
          </cell>
          <cell r="J24">
            <v>1.6257601547595479E-2</v>
          </cell>
          <cell r="K24">
            <v>1.9697553619042019E-2</v>
          </cell>
          <cell r="L24">
            <v>1.573012997124934E-2</v>
          </cell>
          <cell r="M24">
            <v>1.6195222642442442E-2</v>
          </cell>
          <cell r="N24">
            <v>1.6001580207169352E-2</v>
          </cell>
          <cell r="O24">
            <v>1.6970241380077633E-2</v>
          </cell>
          <cell r="P24">
            <v>2.0402404782783767E-2</v>
          </cell>
          <cell r="Q24">
            <v>1.7429078876514792E-2</v>
          </cell>
          <cell r="R24">
            <v>1.5040121896785941E-2</v>
          </cell>
          <cell r="S24">
            <v>1.8614845536391478E-2</v>
          </cell>
          <cell r="T24">
            <v>1.4888917560546888E-2</v>
          </cell>
          <cell r="U24">
            <v>1.8235154158511957E-2</v>
          </cell>
          <cell r="V24">
            <v>1.48433686851559E-2</v>
          </cell>
        </row>
        <row r="25">
          <cell r="D25">
            <v>2.6166297948848394E-2</v>
          </cell>
          <cell r="E25">
            <v>3.1120901688245661E-2</v>
          </cell>
          <cell r="F25">
            <v>3.2398716396532912E-2</v>
          </cell>
          <cell r="G25">
            <v>3.1874748579171053E-2</v>
          </cell>
          <cell r="H25">
            <v>3.0269073756242548E-2</v>
          </cell>
          <cell r="I25">
            <v>2.8068929836908563E-2</v>
          </cell>
          <cell r="J25">
            <v>2.648380762438296E-2</v>
          </cell>
          <cell r="K25">
            <v>2.6180312729043198E-2</v>
          </cell>
          <cell r="L25">
            <v>2.5102342628924523E-2</v>
          </cell>
          <cell r="M25">
            <v>2.5100992731933447E-2</v>
          </cell>
          <cell r="N25">
            <v>2.560286968483183E-2</v>
          </cell>
          <cell r="O25">
            <v>2.5543087959334354E-2</v>
          </cell>
          <cell r="P25">
            <v>2.5864114687746298E-2</v>
          </cell>
          <cell r="Q25">
            <v>2.5186650411110234E-2</v>
          </cell>
          <cell r="R25">
            <v>2.4260498639482098E-2</v>
          </cell>
          <cell r="S25">
            <v>2.4227507358652423E-2</v>
          </cell>
          <cell r="T25">
            <v>2.4649813530254638E-2</v>
          </cell>
          <cell r="U25">
            <v>2.437848846610291E-2</v>
          </cell>
          <cell r="V25">
            <v>2.4285282947670739E-2</v>
          </cell>
        </row>
        <row r="26">
          <cell r="D26">
            <v>9.2158145281697745E-3</v>
          </cell>
          <cell r="E26">
            <v>6.2992676331437014E-3</v>
          </cell>
          <cell r="F26">
            <v>5.9452433007241012E-3</v>
          </cell>
          <cell r="G26">
            <v>1.4391500456425899E-2</v>
          </cell>
          <cell r="H26">
            <v>5.4169292814103542E-3</v>
          </cell>
          <cell r="I26">
            <v>1.1251856281637718E-2</v>
          </cell>
          <cell r="J26">
            <v>1.483851215777876E-2</v>
          </cell>
          <cell r="K26">
            <v>1.3067533994235436E-2</v>
          </cell>
          <cell r="L26">
            <v>1.4718211874378051E-2</v>
          </cell>
          <cell r="M26">
            <v>1.0640729941910232E-2</v>
          </cell>
          <cell r="N26">
            <v>9.6827563178274456E-3</v>
          </cell>
          <cell r="O26">
            <v>1.4530295830704754E-2</v>
          </cell>
          <cell r="P26">
            <v>1.3483911791119851E-2</v>
          </cell>
          <cell r="Q26">
            <v>1.5904562607467421E-2</v>
          </cell>
          <cell r="R26">
            <v>7.2774782577464947E-3</v>
          </cell>
          <cell r="S26">
            <v>1.6434630164735786E-2</v>
          </cell>
          <cell r="T26">
            <v>1.144866414719603E-2</v>
          </cell>
          <cell r="U26">
            <v>1.3768634776158972E-2</v>
          </cell>
          <cell r="V26">
            <v>1.2331530943956892E-2</v>
          </cell>
        </row>
        <row r="27">
          <cell r="D27">
            <v>7.5915312913117372E-3</v>
          </cell>
          <cell r="E27">
            <v>1.1690420272871593E-2</v>
          </cell>
          <cell r="F27">
            <v>1.886318410459431E-2</v>
          </cell>
          <cell r="G27">
            <v>1.9333182114330327E-2</v>
          </cell>
          <cell r="H27">
            <v>1.7106200792986082E-2</v>
          </cell>
          <cell r="I27">
            <v>1.2987730443128953E-2</v>
          </cell>
          <cell r="J27">
            <v>1.2881104440634061E-2</v>
          </cell>
          <cell r="K27">
            <v>1.2956039368557715E-2</v>
          </cell>
          <cell r="L27">
            <v>1.0450852750726103E-2</v>
          </cell>
          <cell r="M27">
            <v>1.1274317855530347E-2</v>
          </cell>
          <cell r="N27">
            <v>1.3740099335989076E-2</v>
          </cell>
          <cell r="O27">
            <v>1.0845485200582816E-2</v>
          </cell>
          <cell r="P27">
            <v>1.2640346994420737E-2</v>
          </cell>
          <cell r="Q27">
            <v>1.3241003943762708E-2</v>
          </cell>
          <cell r="R27">
            <v>1.0877884118954073E-2</v>
          </cell>
          <cell r="S27">
            <v>1.2940156034046524E-2</v>
          </cell>
          <cell r="T27">
            <v>9.6912340166626088E-3</v>
          </cell>
          <cell r="U27">
            <v>1.399170098426139E-2</v>
          </cell>
          <cell r="V27">
            <v>1.0916724379469667E-2</v>
          </cell>
        </row>
        <row r="28">
          <cell r="D28">
            <v>2.0895503190858422E-2</v>
          </cell>
          <cell r="E28">
            <v>2.4726541964579019E-2</v>
          </cell>
          <cell r="F28">
            <v>2.726768191173945E-2</v>
          </cell>
          <cell r="G28">
            <v>2.65869249349866E-2</v>
          </cell>
          <cell r="H28">
            <v>2.4621636973036987E-2</v>
          </cell>
          <cell r="I28">
            <v>2.3278682332490863E-2</v>
          </cell>
          <cell r="J28">
            <v>2.1987078414496208E-2</v>
          </cell>
          <cell r="K28">
            <v>2.0815039340049468E-2</v>
          </cell>
          <cell r="L28">
            <v>1.9415147414631795E-2</v>
          </cell>
          <cell r="M28">
            <v>1.9048046173594457E-2</v>
          </cell>
          <cell r="N28">
            <v>1.9776624098795104E-2</v>
          </cell>
          <cell r="O28">
            <v>2.0297534107683868E-2</v>
          </cell>
          <cell r="P28">
            <v>2.1327439134494197E-2</v>
          </cell>
          <cell r="Q28">
            <v>2.0369073952711592E-2</v>
          </cell>
          <cell r="R28">
            <v>1.8979455374264598E-2</v>
          </cell>
          <cell r="S28">
            <v>1.9256149913803311E-2</v>
          </cell>
          <cell r="T28">
            <v>1.9314160041259854E-2</v>
          </cell>
          <cell r="U28">
            <v>2.007625846295924E-2</v>
          </cell>
          <cell r="V28">
            <v>1.9417956671748504E-2</v>
          </cell>
        </row>
        <row r="35">
          <cell r="C35">
            <v>1785.1280512903811</v>
          </cell>
          <cell r="D35">
            <v>1831.416294171526</v>
          </cell>
          <cell r="E35">
            <v>1882.0325033735578</v>
          </cell>
          <cell r="F35">
            <v>1934.197321412461</v>
          </cell>
          <cell r="G35">
            <v>1985.1567014488194</v>
          </cell>
          <cell r="H35">
            <v>2037.831014615128</v>
          </cell>
          <cell r="I35">
            <v>2090.6303420237664</v>
          </cell>
          <cell r="J35">
            <v>2144.0997365443877</v>
          </cell>
          <cell r="K35">
            <v>2198.2846687788465</v>
          </cell>
          <cell r="L35">
            <v>2252.0267326608227</v>
          </cell>
          <cell r="M35">
            <v>2308.2041675865012</v>
          </cell>
          <cell r="N35">
            <v>2365.5496830137968</v>
          </cell>
          <cell r="O35">
            <v>2424.3264095266609</v>
          </cell>
          <cell r="P35">
            <v>2484.0142890237858</v>
          </cell>
          <cell r="Q35">
            <v>2545.2950139261916</v>
          </cell>
          <cell r="R35">
            <v>2606.9447213663543</v>
          </cell>
          <cell r="S35">
            <v>2671.0471951884142</v>
          </cell>
          <cell r="T35">
            <v>2737.4503842386648</v>
          </cell>
          <cell r="U35">
            <v>2804.0009661127674</v>
          </cell>
          <cell r="V35">
            <v>2873.3428298789263</v>
          </cell>
          <cell r="W35">
            <v>0</v>
          </cell>
        </row>
      </sheetData>
      <sheetData sheetId="2"/>
      <sheetData sheetId="3">
        <row r="9">
          <cell r="Z9" t="str">
            <v>2013 14</v>
          </cell>
          <cell r="AA9">
            <v>4475524.9999999963</v>
          </cell>
        </row>
        <row r="10">
          <cell r="Z10" t="str">
            <v>2014 15</v>
          </cell>
          <cell r="AA10">
            <v>4552490.0000000047</v>
          </cell>
        </row>
        <row r="11">
          <cell r="Z11" t="str">
            <v>2015 16</v>
          </cell>
          <cell r="AA11">
            <v>4644045.0000000047</v>
          </cell>
        </row>
        <row r="12">
          <cell r="Z12" t="str">
            <v>2016 17</v>
          </cell>
          <cell r="AA12">
            <v>4743069.9999999981</v>
          </cell>
        </row>
        <row r="13">
          <cell r="Z13" t="str">
            <v>2017 18</v>
          </cell>
          <cell r="AA13">
            <v>4839064.9999999981</v>
          </cell>
        </row>
        <row r="14">
          <cell r="Z14" t="str">
            <v>2018 19</v>
          </cell>
          <cell r="AA14">
            <v>4925194.9999999972</v>
          </cell>
        </row>
        <row r="15">
          <cell r="Z15" t="str">
            <v>2019 20</v>
          </cell>
          <cell r="AA15">
            <v>5000904.9999999981</v>
          </cell>
        </row>
        <row r="16">
          <cell r="Z16" t="str">
            <v>2020 21</v>
          </cell>
          <cell r="AA16">
            <v>5064770.0000000028</v>
          </cell>
        </row>
        <row r="17">
          <cell r="Z17" t="str">
            <v>2021 22</v>
          </cell>
          <cell r="AA17">
            <v>5117519.9999999953</v>
          </cell>
        </row>
        <row r="18">
          <cell r="Z18" t="str">
            <v>2022 23</v>
          </cell>
          <cell r="AA18">
            <v>5162970.0000000019</v>
          </cell>
        </row>
        <row r="19">
          <cell r="Z19" t="str">
            <v>2023 24</v>
          </cell>
          <cell r="AA19">
            <v>5207604.9999999972</v>
          </cell>
        </row>
        <row r="20">
          <cell r="Z20" t="str">
            <v>2024 25</v>
          </cell>
          <cell r="AA20">
            <v>5251989.9999999972</v>
          </cell>
        </row>
        <row r="21">
          <cell r="Z21" t="str">
            <v>2025 26</v>
          </cell>
          <cell r="AA21">
            <v>5295535.0000000028</v>
          </cell>
        </row>
        <row r="22">
          <cell r="Z22" t="str">
            <v>2026 27</v>
          </cell>
          <cell r="AA22">
            <v>5338635</v>
          </cell>
        </row>
        <row r="23">
          <cell r="Z23" t="str">
            <v>2027 28</v>
          </cell>
          <cell r="AA23">
            <v>5381059.9999999963</v>
          </cell>
        </row>
        <row r="24">
          <cell r="Z24" t="str">
            <v>2028 29</v>
          </cell>
          <cell r="AA24">
            <v>5421874.9999999944</v>
          </cell>
        </row>
        <row r="25">
          <cell r="Z25" t="str">
            <v>2029 30</v>
          </cell>
          <cell r="AA25">
            <v>5461685.0000000019</v>
          </cell>
        </row>
        <row r="26">
          <cell r="Z26" t="str">
            <v>2030 31</v>
          </cell>
          <cell r="AA26">
            <v>5500849.9999999963</v>
          </cell>
        </row>
        <row r="27">
          <cell r="Z27" t="str">
            <v>2031 32</v>
          </cell>
          <cell r="AA27">
            <v>5538174.9999999981</v>
          </cell>
        </row>
        <row r="28">
          <cell r="Z28" t="str">
            <v>2032 33</v>
          </cell>
          <cell r="AA28">
            <v>5574899.9999999972</v>
          </cell>
        </row>
      </sheetData>
      <sheetData sheetId="4"/>
      <sheetData sheetId="5" refreshError="1"/>
      <sheetData sheetId="6">
        <row r="8">
          <cell r="D8">
            <v>2.9295302459547257E-2</v>
          </cell>
        </row>
      </sheetData>
      <sheetData sheetId="7"/>
      <sheetData sheetId="8">
        <row r="9">
          <cell r="Z9" t="str">
            <v>2013 14</v>
          </cell>
        </row>
      </sheetData>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rths"/>
      <sheetName val="Deaths"/>
      <sheetName val="NZ Deaths by Age and Sex"/>
      <sheetName val="DHB Deaths by Age and Sex"/>
      <sheetName val="Terms and Conditions of Supply"/>
      <sheetName val="DHB Births and Deaths Projectio"/>
      <sheetName val="NZ_Deaths_by_Age_and_Sex"/>
      <sheetName val="DHB_Deaths_by_Age_and_Sex"/>
      <sheetName val="Terms_and_Conditions_of_Supply"/>
      <sheetName val="DHB_Births_and_Deaths_Projectio"/>
    </sheetNames>
    <sheetDataSet>
      <sheetData sheetId="0">
        <row r="30">
          <cell r="C30">
            <v>61400</v>
          </cell>
          <cell r="D30">
            <v>62000</v>
          </cell>
          <cell r="E30">
            <v>62500</v>
          </cell>
          <cell r="F30">
            <v>62900</v>
          </cell>
          <cell r="G30">
            <v>63100</v>
          </cell>
          <cell r="H30">
            <v>63600</v>
          </cell>
          <cell r="I30">
            <v>64200</v>
          </cell>
          <cell r="J30">
            <v>64300</v>
          </cell>
          <cell r="K30">
            <v>64100</v>
          </cell>
          <cell r="L30">
            <v>63500</v>
          </cell>
          <cell r="M30">
            <v>63000</v>
          </cell>
          <cell r="N30">
            <v>62600</v>
          </cell>
          <cell r="O30">
            <v>62300</v>
          </cell>
          <cell r="P30">
            <v>61900</v>
          </cell>
          <cell r="Q30">
            <v>61500</v>
          </cell>
        </row>
      </sheetData>
      <sheetData sheetId="1"/>
      <sheetData sheetId="2"/>
      <sheetData sheetId="3"/>
      <sheetData sheetId="4"/>
      <sheetData sheetId="5" refreshError="1"/>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1. Demo - DHB Devolved"/>
      <sheetName val="7. Weighted Cst Wgt Tables"/>
      <sheetName val="8. National Population 2017-18"/>
      <sheetName val="8a. By DHB 2017-18"/>
      <sheetName val="8b. National Population 2016-17"/>
      <sheetName val="1__Demo_-_DHB_Devolved"/>
      <sheetName val="7__Weighted_Cst_Wgt_Tables"/>
      <sheetName val="8__National_Population_2017-18"/>
      <sheetName val="8a__By_DHB_2017-18"/>
      <sheetName val="8b__National_Population_2016-17"/>
    </sheetNames>
    <sheetDataSet>
      <sheetData sheetId="0"/>
      <sheetData sheetId="1">
        <row r="10">
          <cell r="H10">
            <v>1347.1093424668315</v>
          </cell>
          <cell r="I10">
            <v>1.7393679860717493E-2</v>
          </cell>
        </row>
        <row r="11">
          <cell r="H11">
            <v>1367.1993172384828</v>
          </cell>
          <cell r="I11">
            <v>1.4913395771468885E-2</v>
          </cell>
        </row>
        <row r="12">
          <cell r="H12">
            <v>1384.2599240162128</v>
          </cell>
          <cell r="I12">
            <v>1.247850738558709E-2</v>
          </cell>
        </row>
        <row r="13">
          <cell r="H13">
            <v>1398.6676389551183</v>
          </cell>
          <cell r="I13">
            <v>1.0408243920768667E-2</v>
          </cell>
        </row>
        <row r="14">
          <cell r="H14">
            <v>1411.6675460553436</v>
          </cell>
          <cell r="I14">
            <v>9.2944933722332035E-3</v>
          </cell>
        </row>
        <row r="15">
          <cell r="H15">
            <v>1424.5158943187594</v>
          </cell>
          <cell r="I15">
            <v>9.1015397352713912E-3</v>
          </cell>
        </row>
        <row r="16">
          <cell r="H16">
            <v>1437.2738242118944</v>
          </cell>
          <cell r="I16">
            <v>8.9559758118642474E-3</v>
          </cell>
        </row>
        <row r="17">
          <cell r="H17">
            <v>1449.3963669737668</v>
          </cell>
          <cell r="I17">
            <v>8.4344002914820138E-3</v>
          </cell>
        </row>
        <row r="18">
          <cell r="H18">
            <v>1460.8889359873108</v>
          </cell>
          <cell r="I18">
            <v>7.9292105840857996E-3</v>
          </cell>
        </row>
        <row r="19">
          <cell r="H19">
            <v>1472.2169945343103</v>
          </cell>
          <cell r="I19">
            <v>7.7542229720177769E-3</v>
          </cell>
        </row>
        <row r="20">
          <cell r="H20">
            <v>1483.0336750015949</v>
          </cell>
          <cell r="I20">
            <v>7.3472052743870364E-3</v>
          </cell>
        </row>
        <row r="21">
          <cell r="H21">
            <v>1493.3816724917558</v>
          </cell>
          <cell r="I21">
            <v>6.9775876735569398E-3</v>
          </cell>
        </row>
        <row r="22">
          <cell r="H22">
            <v>1503.4632890899072</v>
          </cell>
          <cell r="I22">
            <v>6.750864018124636E-3</v>
          </cell>
        </row>
        <row r="23">
          <cell r="H23">
            <v>1513.3592164239612</v>
          </cell>
          <cell r="I23">
            <v>6.5820877741846751E-3</v>
          </cell>
        </row>
        <row r="24">
          <cell r="H24">
            <v>1523.3553635888509</v>
          </cell>
          <cell r="I24">
            <v>6.6052706167873954E-3</v>
          </cell>
        </row>
      </sheetData>
      <sheetData sheetId="2"/>
      <sheetData sheetId="3"/>
      <sheetData sheetId="4"/>
      <sheetData sheetId="5"/>
      <sheetData sheetId="6">
        <row r="8">
          <cell r="H8">
            <v>1298.5746557098221</v>
          </cell>
        </row>
      </sheetData>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info@stats.govt.nz" TargetMode="External"/><Relationship Id="rId7" Type="http://schemas.openxmlformats.org/officeDocument/2006/relationships/comments" Target="../comments7.xml"/><Relationship Id="rId2" Type="http://schemas.openxmlformats.org/officeDocument/2006/relationships/hyperlink" Target="mailto:info@stats.govt.nz" TargetMode="External"/><Relationship Id="rId1" Type="http://schemas.openxmlformats.org/officeDocument/2006/relationships/hyperlink" Target="mailto:info@stats.govt.nz" TargetMode="External"/><Relationship Id="rId6" Type="http://schemas.openxmlformats.org/officeDocument/2006/relationships/vmlDrawing" Target="../drawings/vmlDrawing7.vml"/><Relationship Id="rId5" Type="http://schemas.openxmlformats.org/officeDocument/2006/relationships/drawing" Target="../drawings/drawing4.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mailto:info@stats.govt.nz" TargetMode="External"/><Relationship Id="rId13" Type="http://schemas.openxmlformats.org/officeDocument/2006/relationships/hyperlink" Target="mailto:info@stats.govt.nz" TargetMode="External"/><Relationship Id="rId18" Type="http://schemas.openxmlformats.org/officeDocument/2006/relationships/hyperlink" Target="mailto:info@stats.govt.nz" TargetMode="External"/><Relationship Id="rId3" Type="http://schemas.openxmlformats.org/officeDocument/2006/relationships/hyperlink" Target="mailto:info@stats.govt.nz" TargetMode="External"/><Relationship Id="rId21" Type="http://schemas.openxmlformats.org/officeDocument/2006/relationships/hyperlink" Target="mailto:info@stats.govt.nz" TargetMode="External"/><Relationship Id="rId7" Type="http://schemas.openxmlformats.org/officeDocument/2006/relationships/hyperlink" Target="mailto:info@stats.govt.nz" TargetMode="External"/><Relationship Id="rId12" Type="http://schemas.openxmlformats.org/officeDocument/2006/relationships/hyperlink" Target="mailto:info@stats.govt.nz" TargetMode="External"/><Relationship Id="rId17" Type="http://schemas.openxmlformats.org/officeDocument/2006/relationships/hyperlink" Target="mailto:info@stats.govt.nz" TargetMode="External"/><Relationship Id="rId25" Type="http://schemas.openxmlformats.org/officeDocument/2006/relationships/comments" Target="../comments8.xml"/><Relationship Id="rId2" Type="http://schemas.openxmlformats.org/officeDocument/2006/relationships/hyperlink" Target="mailto:info@stats.govt.nz" TargetMode="External"/><Relationship Id="rId16" Type="http://schemas.openxmlformats.org/officeDocument/2006/relationships/hyperlink" Target="mailto:info@stats.govt.nz" TargetMode="External"/><Relationship Id="rId20" Type="http://schemas.openxmlformats.org/officeDocument/2006/relationships/hyperlink" Target="mailto:info@stats.govt.nz" TargetMode="External"/><Relationship Id="rId1" Type="http://schemas.openxmlformats.org/officeDocument/2006/relationships/hyperlink" Target="mailto:info@stats.govt.nz" TargetMode="External"/><Relationship Id="rId6" Type="http://schemas.openxmlformats.org/officeDocument/2006/relationships/hyperlink" Target="mailto:info@stats.govt.nz" TargetMode="External"/><Relationship Id="rId11" Type="http://schemas.openxmlformats.org/officeDocument/2006/relationships/hyperlink" Target="mailto:info@stats.govt.nz" TargetMode="External"/><Relationship Id="rId24" Type="http://schemas.openxmlformats.org/officeDocument/2006/relationships/vmlDrawing" Target="../drawings/vmlDrawing8.vml"/><Relationship Id="rId5" Type="http://schemas.openxmlformats.org/officeDocument/2006/relationships/hyperlink" Target="mailto:info@stats.govt.nz" TargetMode="External"/><Relationship Id="rId15" Type="http://schemas.openxmlformats.org/officeDocument/2006/relationships/hyperlink" Target="mailto:info@stats.govt.nz" TargetMode="External"/><Relationship Id="rId23" Type="http://schemas.openxmlformats.org/officeDocument/2006/relationships/drawing" Target="../drawings/drawing5.xml"/><Relationship Id="rId10" Type="http://schemas.openxmlformats.org/officeDocument/2006/relationships/hyperlink" Target="mailto:info@stats.govt.nz" TargetMode="External"/><Relationship Id="rId19" Type="http://schemas.openxmlformats.org/officeDocument/2006/relationships/hyperlink" Target="mailto:info@stats.govt.nz" TargetMode="External"/><Relationship Id="rId4" Type="http://schemas.openxmlformats.org/officeDocument/2006/relationships/hyperlink" Target="mailto:info@stats.govt.nz" TargetMode="External"/><Relationship Id="rId9" Type="http://schemas.openxmlformats.org/officeDocument/2006/relationships/hyperlink" Target="mailto:info@stats.govt.nz" TargetMode="External"/><Relationship Id="rId14" Type="http://schemas.openxmlformats.org/officeDocument/2006/relationships/hyperlink" Target="mailto:info@stats.govt.nz" TargetMode="External"/><Relationship Id="rId22"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3">
    <pageSetUpPr fitToPage="1"/>
  </sheetPr>
  <dimension ref="A1:AX129"/>
  <sheetViews>
    <sheetView tabSelected="1" zoomScale="85" zoomScaleNormal="85" workbookViewId="0">
      <pane xSplit="3" ySplit="4" topLeftCell="F5" activePane="bottomRight" state="frozen"/>
      <selection activeCell="F115" sqref="F115"/>
      <selection pane="topRight" activeCell="F115" sqref="F115"/>
      <selection pane="bottomLeft" activeCell="F115" sqref="F115"/>
      <selection pane="bottomRight" activeCell="K13" sqref="K13"/>
    </sheetView>
  </sheetViews>
  <sheetFormatPr defaultRowHeight="15"/>
  <cols>
    <col min="1" max="1" width="72.7109375" customWidth="1"/>
    <col min="2" max="2" width="17.42578125" customWidth="1"/>
    <col min="3" max="3" width="13.140625" customWidth="1"/>
    <col min="4" max="4" width="11.42578125" customWidth="1"/>
    <col min="5" max="5" width="11.85546875" customWidth="1"/>
    <col min="6" max="6" width="11.42578125" customWidth="1"/>
    <col min="7" max="7" width="11.85546875" customWidth="1"/>
    <col min="8" max="8" width="11.42578125" customWidth="1"/>
    <col min="9" max="9" width="12.140625" customWidth="1"/>
    <col min="10" max="10" width="11.42578125" customWidth="1"/>
    <col min="11" max="11" width="12.140625" customWidth="1"/>
    <col min="12" max="12" width="12.5703125" customWidth="1"/>
    <col min="13" max="14" width="12.85546875" customWidth="1"/>
    <col min="15" max="15" width="11" customWidth="1"/>
    <col min="16" max="19" width="13.85546875" customWidth="1"/>
    <col min="20" max="20" width="2.7109375" customWidth="1"/>
    <col min="21" max="21" width="15.28515625" bestFit="1" customWidth="1"/>
    <col min="22" max="22" width="2.7109375" customWidth="1"/>
    <col min="23" max="23" width="10" customWidth="1"/>
    <col min="24" max="24" width="13.28515625" customWidth="1"/>
    <col min="25" max="25" width="13.140625" customWidth="1"/>
    <col min="26" max="27" width="11.140625" customWidth="1"/>
    <col min="28" max="28" width="3.140625" customWidth="1"/>
    <col min="29" max="29" width="16.28515625" customWidth="1"/>
    <col min="30" max="30" width="11.42578125" customWidth="1"/>
    <col min="31" max="31" width="13" customWidth="1"/>
    <col min="32" max="33" width="11.140625" customWidth="1"/>
    <col min="34" max="34" width="2.140625" customWidth="1"/>
    <col min="35" max="35" width="13.7109375" customWidth="1"/>
    <col min="36" max="36" width="11.42578125" customWidth="1"/>
    <col min="37" max="37" width="10.28515625" customWidth="1"/>
    <col min="38" max="38" width="10" customWidth="1"/>
    <col min="39" max="39" width="10.140625" bestFit="1" customWidth="1"/>
    <col min="41" max="41" width="12.28515625" customWidth="1"/>
    <col min="42" max="42" width="12" customWidth="1"/>
    <col min="43" max="43" width="11" customWidth="1"/>
    <col min="44" max="44" width="11.140625" bestFit="1" customWidth="1"/>
    <col min="45" max="45" width="11.28515625" customWidth="1"/>
    <col min="46" max="46" width="11.28515625" bestFit="1" customWidth="1"/>
    <col min="47" max="47" width="10.28515625" bestFit="1" customWidth="1"/>
    <col min="48" max="48" width="11.28515625" bestFit="1" customWidth="1"/>
    <col min="49" max="49" width="11" customWidth="1"/>
  </cols>
  <sheetData>
    <row r="1" spans="1:47" ht="36" customHeight="1">
      <c r="A1" s="123" t="s">
        <v>765</v>
      </c>
      <c r="B1" s="406">
        <f>AA71*1000</f>
        <v>1318991944.7455907</v>
      </c>
      <c r="C1">
        <v>1</v>
      </c>
      <c r="D1" s="407" t="s">
        <v>766</v>
      </c>
      <c r="E1" s="407"/>
      <c r="F1" s="407"/>
      <c r="G1" s="407"/>
      <c r="H1" s="407"/>
      <c r="I1" s="407"/>
      <c r="J1" s="407"/>
      <c r="K1" s="407"/>
      <c r="L1" s="407"/>
      <c r="M1" s="407"/>
      <c r="N1" s="407"/>
      <c r="O1" s="407"/>
      <c r="P1" s="407"/>
      <c r="Q1" s="407"/>
      <c r="R1" s="407"/>
      <c r="S1" s="407"/>
      <c r="T1" s="407"/>
      <c r="U1" s="407"/>
      <c r="V1" s="407"/>
      <c r="W1" s="407"/>
      <c r="X1" s="407"/>
      <c r="Y1" s="407"/>
      <c r="Z1" s="407"/>
      <c r="AA1" s="407"/>
      <c r="AB1" s="408"/>
      <c r="AC1" s="409" t="s">
        <v>767</v>
      </c>
      <c r="AD1" s="409"/>
      <c r="AE1" s="409"/>
      <c r="AF1" s="410"/>
      <c r="AG1" s="410"/>
      <c r="AH1" s="408"/>
    </row>
    <row r="2" spans="1:47" ht="97.5" customHeight="1">
      <c r="A2" s="411">
        <v>3.8</v>
      </c>
      <c r="B2" s="412">
        <f>B1/(A2*10^9)</f>
        <v>0.34710314335410281</v>
      </c>
      <c r="C2" s="38" t="s">
        <v>409</v>
      </c>
      <c r="D2" s="413" t="s">
        <v>768</v>
      </c>
      <c r="E2" s="413" t="s">
        <v>769</v>
      </c>
      <c r="F2" s="413" t="s">
        <v>770</v>
      </c>
      <c r="G2" s="413" t="s">
        <v>771</v>
      </c>
      <c r="H2" s="413" t="s">
        <v>772</v>
      </c>
      <c r="I2" s="413" t="s">
        <v>773</v>
      </c>
      <c r="J2" s="413" t="s">
        <v>774</v>
      </c>
      <c r="K2" s="413" t="s">
        <v>775</v>
      </c>
      <c r="L2" s="413" t="s">
        <v>776</v>
      </c>
      <c r="M2" s="413" t="s">
        <v>777</v>
      </c>
      <c r="N2" s="413" t="s">
        <v>778</v>
      </c>
      <c r="O2" s="414" t="s">
        <v>779</v>
      </c>
      <c r="P2" s="414" t="s">
        <v>780</v>
      </c>
      <c r="Q2" s="414" t="s">
        <v>781</v>
      </c>
      <c r="R2" s="414" t="s">
        <v>782</v>
      </c>
      <c r="S2" s="414" t="s">
        <v>783</v>
      </c>
      <c r="T2" s="9"/>
      <c r="U2" s="415" t="s">
        <v>784</v>
      </c>
      <c r="V2" s="415"/>
      <c r="W2" s="415" t="s">
        <v>785</v>
      </c>
      <c r="X2" s="415" t="s">
        <v>786</v>
      </c>
      <c r="Y2" s="415" t="s">
        <v>787</v>
      </c>
      <c r="Z2" s="415" t="s">
        <v>788</v>
      </c>
      <c r="AA2" s="415" t="s">
        <v>789</v>
      </c>
      <c r="AB2" s="415"/>
      <c r="AC2" s="415" t="s">
        <v>790</v>
      </c>
      <c r="AD2" s="415" t="s">
        <v>791</v>
      </c>
      <c r="AE2" s="415" t="s">
        <v>415</v>
      </c>
      <c r="AF2" s="415" t="s">
        <v>792</v>
      </c>
      <c r="AG2" s="415" t="s">
        <v>793</v>
      </c>
      <c r="AH2" s="415"/>
      <c r="AI2" s="415" t="s">
        <v>794</v>
      </c>
      <c r="AJ2" s="415" t="s">
        <v>109</v>
      </c>
      <c r="AK2" s="415" t="s">
        <v>795</v>
      </c>
      <c r="AL2" s="415" t="s">
        <v>796</v>
      </c>
      <c r="AM2" s="415" t="s">
        <v>797</v>
      </c>
      <c r="AN2" s="415" t="s">
        <v>798</v>
      </c>
      <c r="AO2" s="415" t="s">
        <v>799</v>
      </c>
      <c r="AP2" s="415" t="s">
        <v>800</v>
      </c>
      <c r="AQ2" s="415" t="s">
        <v>801</v>
      </c>
      <c r="AR2" s="415" t="s">
        <v>802</v>
      </c>
    </row>
    <row r="3" spans="1:47">
      <c r="A3" s="123"/>
      <c r="B3" s="406"/>
      <c r="C3" s="416" t="s">
        <v>803</v>
      </c>
      <c r="D3" s="417" t="s">
        <v>804</v>
      </c>
      <c r="E3" s="417" t="s">
        <v>804</v>
      </c>
      <c r="F3" s="417" t="s">
        <v>804</v>
      </c>
      <c r="G3" s="417" t="s">
        <v>804</v>
      </c>
      <c r="H3" s="417" t="s">
        <v>804</v>
      </c>
      <c r="I3" s="417" t="s">
        <v>804</v>
      </c>
      <c r="J3" s="417" t="s">
        <v>804</v>
      </c>
      <c r="K3" s="417" t="s">
        <v>804</v>
      </c>
      <c r="L3" s="417" t="s">
        <v>804</v>
      </c>
      <c r="M3" s="417" t="s">
        <v>804</v>
      </c>
      <c r="N3" s="417" t="s">
        <v>804</v>
      </c>
      <c r="O3" s="418" t="s">
        <v>804</v>
      </c>
      <c r="P3" s="418" t="s">
        <v>804</v>
      </c>
      <c r="Q3" s="418"/>
      <c r="R3" s="418"/>
      <c r="S3" s="418" t="s">
        <v>804</v>
      </c>
      <c r="T3" s="119"/>
      <c r="U3" s="418" t="s">
        <v>804</v>
      </c>
      <c r="V3" s="418"/>
      <c r="W3" s="419" t="s">
        <v>803</v>
      </c>
      <c r="X3" s="419" t="s">
        <v>803</v>
      </c>
      <c r="Y3" s="419" t="s">
        <v>803</v>
      </c>
      <c r="Z3" s="419" t="s">
        <v>803</v>
      </c>
      <c r="AA3" s="419" t="s">
        <v>803</v>
      </c>
      <c r="AB3" s="419"/>
      <c r="AC3" s="419"/>
      <c r="AD3" s="419"/>
      <c r="AE3" s="419"/>
      <c r="AF3" s="419"/>
      <c r="AG3" s="419"/>
      <c r="AH3" s="419"/>
      <c r="AI3" s="418" t="s">
        <v>804</v>
      </c>
      <c r="AJ3" s="416" t="s">
        <v>804</v>
      </c>
      <c r="AK3" s="416" t="s">
        <v>804</v>
      </c>
      <c r="AL3" s="416" t="s">
        <v>804</v>
      </c>
      <c r="AM3" s="119"/>
      <c r="AN3" s="420"/>
      <c r="AO3" s="119"/>
      <c r="AP3" s="119"/>
      <c r="AQ3" s="417" t="s">
        <v>804</v>
      </c>
      <c r="AR3" s="418" t="s">
        <v>804</v>
      </c>
    </row>
    <row r="4" spans="1:47">
      <c r="A4" s="123" t="s">
        <v>805</v>
      </c>
      <c r="B4" s="406">
        <f>AA74*1000</f>
        <v>0</v>
      </c>
      <c r="C4" s="421" t="s">
        <v>806</v>
      </c>
      <c r="D4" s="422">
        <f>'Notes 2019-20 post-Budget'!B38</f>
        <v>4.6420985685981915E-2</v>
      </c>
      <c r="E4" s="422">
        <f>DHBProviderProportion19*'DHB Stats'!AK59</f>
        <v>0.15457144766055803</v>
      </c>
      <c r="F4" s="422">
        <f>'Notes 2019-20 post-Budget'!C38</f>
        <v>0.11026663022927639</v>
      </c>
      <c r="G4" s="422">
        <f>DHBProviderProportion19*'DHB Stats'!AL59</f>
        <v>0.18969246389955757</v>
      </c>
      <c r="H4" s="422">
        <f>'Notes 2019-20 post-Budget'!D38</f>
        <v>7.3589879181061787E-2</v>
      </c>
      <c r="I4" s="422">
        <f>DHBProviderProportion19*'DHB Stats'!AM59</f>
        <v>0.14708079721781922</v>
      </c>
      <c r="J4" s="422">
        <f>OtherWagesIncreases19</f>
        <v>3.2000000000000001E-2</v>
      </c>
      <c r="K4" s="422">
        <f>(1-DHBProviderProportion19)*LabourProportion19</f>
        <v>0.14212639060535989</v>
      </c>
      <c r="L4" s="422">
        <f>_CPI19</f>
        <v>0.02</v>
      </c>
      <c r="M4" s="423">
        <f>1-LabourProportion19</f>
        <v>0.36652890061670529</v>
      </c>
      <c r="N4" s="423">
        <f>_CPI19</f>
        <v>0.02</v>
      </c>
      <c r="O4" s="424">
        <f>Demographics!W22</f>
        <v>2.3278682332490863E-2</v>
      </c>
      <c r="P4" s="422">
        <f>IF(NDGandProdSwitch19=0,1,0)*1.5%</f>
        <v>0</v>
      </c>
      <c r="Q4" s="422">
        <f>IF(NDGandProdSwitch19=0,1,0)*0.3%</f>
        <v>0</v>
      </c>
      <c r="R4" s="422">
        <v>1</v>
      </c>
      <c r="S4" s="422">
        <v>2.8000000000000001E-2</v>
      </c>
      <c r="T4" s="254"/>
      <c r="U4" s="254"/>
      <c r="V4" s="116"/>
      <c r="W4" s="116"/>
      <c r="X4" s="116"/>
      <c r="Y4" s="425"/>
      <c r="Z4" s="116"/>
      <c r="AA4" s="116"/>
      <c r="AB4" s="116"/>
      <c r="AC4" s="116"/>
      <c r="AD4" s="116"/>
      <c r="AE4" s="116"/>
      <c r="AF4" s="116"/>
      <c r="AG4" s="116"/>
      <c r="AH4" s="116"/>
      <c r="AI4" s="422">
        <f>'DHB Stats'!AA59</f>
        <v>0.63347109938329471</v>
      </c>
      <c r="AJ4" s="426">
        <v>0.02</v>
      </c>
      <c r="AK4" s="426">
        <f>Demographics!BD17</f>
        <v>9.7719869706840434E-3</v>
      </c>
      <c r="AL4" s="426">
        <f>Demographics!CF13</f>
        <v>3.9674714665447475E-3</v>
      </c>
      <c r="AM4" s="426">
        <f>(MedicalSalaryIncreases19*MedicalProportion19+NursingSalaryIncrease19*NursingProportion19+OtherDHBWageIncreases19*OtherWageProportion19)/(MedicalProportion19+NursingProportion19+OtherWageProportion19)</f>
        <v>7.9202574354182861E-2</v>
      </c>
      <c r="AN4" s="426">
        <f>(MedicalSalaryIncreases19*MedicalProportion19+NursingSalaryIncrease19*NursingProportion19+OtherDHBWageIncreases19*OtherWageProportion19+DHBFundedWageIncreases19*DHBFundedProportion19)/LabourProportion19</f>
        <v>6.8612144061826488E-2</v>
      </c>
      <c r="AO4" s="426">
        <v>3.2000000000000001E-2</v>
      </c>
      <c r="AP4" s="426">
        <f>'DHB Stats'!$L$134/Multiyear!L81+0*'DHB Stats'!M33</f>
        <v>0.77563871383599869</v>
      </c>
      <c r="AQ4" s="423">
        <v>3.2000000000000001E-2</v>
      </c>
      <c r="AR4" s="254">
        <f>Demographics!EG15</f>
        <v>2.5909571024273603E-2</v>
      </c>
    </row>
    <row r="5" spans="1:47">
      <c r="B5" s="427">
        <f>B4-B1</f>
        <v>-1318991944.7455907</v>
      </c>
      <c r="C5" s="428"/>
      <c r="D5" s="429"/>
      <c r="E5" s="430"/>
      <c r="F5" s="430"/>
      <c r="G5" s="430"/>
      <c r="H5" s="431"/>
      <c r="I5" s="431"/>
      <c r="J5" s="431"/>
      <c r="K5" s="431"/>
      <c r="L5" s="431"/>
      <c r="M5" s="431"/>
      <c r="N5" s="431"/>
      <c r="O5" s="422"/>
      <c r="P5" s="422"/>
      <c r="Q5" s="422"/>
      <c r="R5" s="432"/>
      <c r="S5" s="432"/>
      <c r="T5" s="113"/>
      <c r="U5" s="113"/>
      <c r="AI5" s="9"/>
      <c r="AJ5" s="266"/>
      <c r="AK5" s="9"/>
      <c r="AL5" s="433"/>
      <c r="AM5" s="9"/>
      <c r="AN5" s="9"/>
      <c r="AO5" s="9"/>
      <c r="AP5" s="9"/>
    </row>
    <row r="6" spans="1:47">
      <c r="C6" s="428"/>
      <c r="D6" s="431"/>
      <c r="E6" s="431"/>
      <c r="F6" s="431"/>
      <c r="G6" s="431"/>
      <c r="H6" s="431"/>
      <c r="I6" s="431"/>
      <c r="J6" s="431"/>
      <c r="K6" s="431"/>
      <c r="L6" s="431"/>
      <c r="M6" s="431"/>
      <c r="N6" s="431"/>
      <c r="O6" s="422"/>
      <c r="P6" s="422"/>
      <c r="Q6" s="422"/>
      <c r="R6" s="432"/>
      <c r="S6" s="432"/>
      <c r="T6" s="113"/>
      <c r="U6" s="113"/>
      <c r="AI6" s="434" t="s">
        <v>807</v>
      </c>
      <c r="AJ6" s="434"/>
      <c r="AK6" s="434"/>
      <c r="AL6" s="434"/>
      <c r="AM6" s="9"/>
      <c r="AN6" s="9"/>
      <c r="AO6" s="9"/>
      <c r="AP6" s="9"/>
    </row>
    <row r="7" spans="1:47" ht="90">
      <c r="C7" s="428"/>
      <c r="D7" s="431"/>
      <c r="E7" s="431"/>
      <c r="F7" s="431"/>
      <c r="G7" s="431"/>
      <c r="H7" s="431"/>
      <c r="I7" s="431"/>
      <c r="J7" s="431"/>
      <c r="K7" s="431"/>
      <c r="L7" s="431"/>
      <c r="M7" s="431"/>
      <c r="N7" s="431"/>
      <c r="O7" s="422"/>
      <c r="P7" s="422"/>
      <c r="Q7" s="422"/>
      <c r="R7" s="432"/>
      <c r="S7" s="432"/>
      <c r="T7" s="113"/>
      <c r="U7" s="113"/>
      <c r="AC7" s="435"/>
      <c r="AD7" s="436"/>
      <c r="AE7" s="436"/>
      <c r="AI7" s="437" t="s">
        <v>808</v>
      </c>
      <c r="AJ7" s="437" t="s">
        <v>809</v>
      </c>
      <c r="AK7" s="437" t="s">
        <v>810</v>
      </c>
      <c r="AL7" s="437" t="s">
        <v>811</v>
      </c>
      <c r="AM7" s="9"/>
      <c r="AN7" s="9"/>
      <c r="AO7" s="9"/>
      <c r="AP7" s="9"/>
    </row>
    <row r="8" spans="1:47">
      <c r="A8" s="38" t="s">
        <v>812</v>
      </c>
      <c r="B8" s="38"/>
      <c r="C8" s="438">
        <v>207460</v>
      </c>
      <c r="D8" s="197"/>
      <c r="E8" s="197"/>
      <c r="F8" s="197"/>
      <c r="G8" s="197"/>
      <c r="H8" s="197"/>
      <c r="I8" s="197"/>
      <c r="J8" s="197">
        <f>AllIndustriesWageIncr19</f>
        <v>3.2000000000000001E-2</v>
      </c>
      <c r="K8" s="197">
        <f>LabourProportion19</f>
        <v>0.63347109938329471</v>
      </c>
      <c r="L8" s="197"/>
      <c r="M8" s="197">
        <f>NonLabourProportion19</f>
        <v>0.36652890061670529</v>
      </c>
      <c r="N8" s="197">
        <f>NonLabourGeneralCostIncreases19</f>
        <v>0.02</v>
      </c>
      <c r="O8" s="197"/>
      <c r="P8" s="197"/>
      <c r="Q8" s="197">
        <f>ProductivityGrowth19</f>
        <v>0</v>
      </c>
      <c r="R8" s="197"/>
      <c r="S8" s="197"/>
      <c r="T8" s="197"/>
      <c r="U8" s="439">
        <f>((1+D8)*E8+(1+F8)*G8+(1+H8)*I8+(1+J8)*K8+(1+L8+N8)*M8)*(1+O8)*(1+P8)*(1-Q8)+R8*(1+S8)-1</f>
        <v>2.7601653192599551E-2</v>
      </c>
      <c r="V8" s="197"/>
      <c r="W8" s="440">
        <f>K92</f>
        <v>6476</v>
      </c>
      <c r="X8" s="440">
        <f>G92</f>
        <v>3596.6057861740983</v>
      </c>
      <c r="Y8" s="440">
        <f>C8*(1+U8)+W8+X8</f>
        <v>223258.84475751081</v>
      </c>
      <c r="Z8" s="438">
        <f>Y8</f>
        <v>223258.84475751081</v>
      </c>
      <c r="AA8" s="438">
        <f>Z8-C8</f>
        <v>15798.844757510815</v>
      </c>
      <c r="AB8" s="438"/>
      <c r="AC8" s="440">
        <f>193701+26401</f>
        <v>220102</v>
      </c>
      <c r="AD8" s="440">
        <f>187501+24901</f>
        <v>212402</v>
      </c>
      <c r="AE8" s="440">
        <f>194071+26895</f>
        <v>220966</v>
      </c>
      <c r="AF8" s="441">
        <f>AE8-C8</f>
        <v>13506</v>
      </c>
      <c r="AG8" s="101">
        <f>AE8-AD8</f>
        <v>8564</v>
      </c>
      <c r="AH8" s="438"/>
      <c r="AI8" s="442">
        <f>Y8-W8-AE8-X8</f>
        <v>-7779.7610286632835</v>
      </c>
      <c r="AJ8" s="443">
        <f>AI8+E92</f>
        <v>-1303.7610286632835</v>
      </c>
      <c r="AK8" s="443">
        <f>AJ8+G92</f>
        <v>2292.8447575108148</v>
      </c>
      <c r="AL8" s="444">
        <f>AK8+I92</f>
        <v>2292.8447575108148</v>
      </c>
      <c r="AM8" s="9"/>
      <c r="AN8" s="9"/>
      <c r="AO8" s="9"/>
      <c r="AP8" s="9"/>
    </row>
    <row r="9" spans="1:47">
      <c r="D9" s="197"/>
      <c r="E9" s="197"/>
      <c r="F9" s="197"/>
      <c r="G9" s="197"/>
      <c r="H9" s="197"/>
      <c r="I9" s="197"/>
      <c r="J9" s="197"/>
      <c r="K9" s="197"/>
      <c r="L9" s="197"/>
      <c r="M9" s="197"/>
      <c r="N9" s="197"/>
      <c r="O9" s="197"/>
      <c r="P9" s="197"/>
      <c r="Q9" s="197"/>
      <c r="R9" s="197"/>
      <c r="S9" s="197"/>
      <c r="T9" s="197"/>
      <c r="U9" s="445"/>
      <c r="V9" s="446" t="s">
        <v>813</v>
      </c>
      <c r="Y9" s="447">
        <f>Y8-W8-X8</f>
        <v>213186.23897133672</v>
      </c>
      <c r="Z9" s="448"/>
      <c r="AA9" s="95"/>
      <c r="AB9" s="9"/>
      <c r="AC9" s="449">
        <f>$C8-AC8</f>
        <v>-12642</v>
      </c>
      <c r="AD9" s="449">
        <f>$C8-AD8</f>
        <v>-4942</v>
      </c>
      <c r="AE9" s="450" t="s">
        <v>814</v>
      </c>
      <c r="AF9" s="449">
        <f>AA8-AF8</f>
        <v>2292.8447575108148</v>
      </c>
      <c r="AG9" s="449">
        <f>AD8*U8+W8+X8-AG8</f>
        <v>7371.2521275886284</v>
      </c>
      <c r="AH9" s="9"/>
      <c r="AI9" s="451"/>
      <c r="AJ9" s="9"/>
      <c r="AK9" s="9"/>
      <c r="AL9" s="9"/>
      <c r="AM9" s="9"/>
      <c r="AN9" s="9"/>
      <c r="AO9" s="9"/>
      <c r="AP9" s="9"/>
    </row>
    <row r="10" spans="1:47">
      <c r="A10" s="38" t="s">
        <v>31</v>
      </c>
      <c r="B10" s="38"/>
      <c r="D10" s="197"/>
      <c r="E10" s="197"/>
      <c r="F10" s="197"/>
      <c r="G10" s="197"/>
      <c r="H10" s="197"/>
      <c r="I10" s="197"/>
      <c r="J10" s="197"/>
      <c r="K10" s="197"/>
      <c r="L10" s="197"/>
      <c r="M10" s="197"/>
      <c r="N10" s="197"/>
      <c r="O10" s="197"/>
      <c r="P10" s="197"/>
      <c r="Q10" s="197"/>
      <c r="R10" s="197"/>
      <c r="S10" s="197"/>
      <c r="T10" s="197"/>
      <c r="V10" s="452" t="s">
        <v>290</v>
      </c>
      <c r="W10" s="123"/>
      <c r="X10" s="123"/>
      <c r="Y10" s="447">
        <f>Y9-C8</f>
        <v>5726.2389713367156</v>
      </c>
      <c r="Z10" s="95"/>
      <c r="AE10" s="447"/>
      <c r="AF10" s="447"/>
      <c r="AI10" s="451"/>
      <c r="AJ10" s="9"/>
      <c r="AK10" s="9"/>
      <c r="AL10" s="9"/>
      <c r="AM10" s="9"/>
      <c r="AN10" s="9"/>
      <c r="AO10" s="9"/>
      <c r="AP10" s="9"/>
    </row>
    <row r="11" spans="1:47">
      <c r="A11" s="103" t="s">
        <v>282</v>
      </c>
      <c r="B11" s="103"/>
      <c r="D11" s="197"/>
      <c r="E11" s="197"/>
      <c r="F11" s="197"/>
      <c r="G11" s="197"/>
      <c r="H11" s="197"/>
      <c r="I11" s="197"/>
      <c r="J11" s="197"/>
      <c r="K11" s="197"/>
      <c r="L11" s="197"/>
      <c r="M11" s="197"/>
      <c r="N11" s="197"/>
      <c r="O11" s="197"/>
      <c r="P11" s="197"/>
      <c r="Q11" s="197"/>
      <c r="R11" s="197"/>
      <c r="S11" s="197"/>
      <c r="T11" s="197"/>
      <c r="U11" s="197"/>
      <c r="X11" s="123"/>
      <c r="AI11" s="453"/>
      <c r="AJ11" s="9"/>
      <c r="AK11" s="9"/>
      <c r="AL11" s="9"/>
      <c r="AM11" s="9"/>
      <c r="AN11" s="9"/>
      <c r="AO11" s="9"/>
      <c r="AP11" s="9"/>
    </row>
    <row r="12" spans="1:47">
      <c r="A12" s="454" t="s">
        <v>351</v>
      </c>
      <c r="B12" s="454"/>
      <c r="C12" s="95">
        <v>1320417</v>
      </c>
      <c r="D12" s="197"/>
      <c r="E12" s="197"/>
      <c r="F12" s="197"/>
      <c r="G12" s="197"/>
      <c r="H12" s="197"/>
      <c r="I12" s="197"/>
      <c r="J12" s="197"/>
      <c r="K12" s="197"/>
      <c r="L12" s="197"/>
      <c r="M12" s="197"/>
      <c r="N12" s="197"/>
      <c r="O12" s="197"/>
      <c r="P12" s="197"/>
      <c r="Q12" s="197"/>
      <c r="R12" s="197"/>
      <c r="S12" s="197"/>
      <c r="T12" s="197"/>
      <c r="U12" s="439"/>
      <c r="V12" s="197"/>
      <c r="W12" s="440"/>
      <c r="X12" s="440"/>
      <c r="Y12" s="440"/>
      <c r="Z12" s="440"/>
      <c r="AA12" s="440"/>
      <c r="AB12" s="197"/>
      <c r="AC12" s="440">
        <v>1330189</v>
      </c>
      <c r="AD12" s="440">
        <v>1330189</v>
      </c>
      <c r="AE12" s="440">
        <v>1391484</v>
      </c>
      <c r="AF12" s="441">
        <f>AE12-C12</f>
        <v>71067</v>
      </c>
      <c r="AG12" s="101">
        <f>AE12-AD12</f>
        <v>61295</v>
      </c>
      <c r="AH12" s="197"/>
      <c r="AI12" s="453"/>
      <c r="AL12" s="9"/>
      <c r="AM12" s="9"/>
      <c r="AN12" s="9"/>
      <c r="AO12" s="9"/>
      <c r="AP12" s="9"/>
      <c r="AT12" s="57"/>
      <c r="AU12" s="57"/>
    </row>
    <row r="13" spans="1:47">
      <c r="A13" s="454" t="s">
        <v>355</v>
      </c>
      <c r="B13" s="454"/>
      <c r="C13" s="95">
        <v>724436</v>
      </c>
      <c r="D13" s="197"/>
      <c r="E13" s="197"/>
      <c r="F13" s="197"/>
      <c r="G13" s="197"/>
      <c r="H13" s="197"/>
      <c r="I13" s="197"/>
      <c r="J13" s="197"/>
      <c r="K13" s="197"/>
      <c r="L13" s="197"/>
      <c r="M13" s="197"/>
      <c r="N13" s="197"/>
      <c r="O13" s="197"/>
      <c r="P13" s="197"/>
      <c r="Q13" s="197"/>
      <c r="R13" s="197"/>
      <c r="S13" s="197"/>
      <c r="T13" s="197"/>
      <c r="U13" s="439"/>
      <c r="V13" s="197"/>
      <c r="W13" s="440"/>
      <c r="X13" s="440"/>
      <c r="Y13" s="440"/>
      <c r="Z13" s="197"/>
      <c r="AA13" s="440"/>
      <c r="AB13" s="197"/>
      <c r="AC13" s="440">
        <v>728953</v>
      </c>
      <c r="AD13" s="440">
        <v>728953</v>
      </c>
      <c r="AE13" s="440">
        <v>762449</v>
      </c>
      <c r="AF13" s="441">
        <f>AE13-C13</f>
        <v>38013</v>
      </c>
      <c r="AG13" s="101">
        <f t="shared" ref="AG13:AG32" si="0">AE13-AD13</f>
        <v>33496</v>
      </c>
      <c r="AH13" s="197"/>
      <c r="AI13" s="453"/>
      <c r="AL13" s="9"/>
      <c r="AM13" s="9"/>
      <c r="AN13" s="9"/>
      <c r="AO13" s="9"/>
      <c r="AP13" s="9"/>
      <c r="AT13" s="57"/>
      <c r="AU13" s="57"/>
    </row>
    <row r="14" spans="1:47">
      <c r="A14" s="454" t="s">
        <v>359</v>
      </c>
      <c r="B14" s="454"/>
      <c r="C14" s="95">
        <v>1421052</v>
      </c>
      <c r="D14" s="197"/>
      <c r="E14" s="197"/>
      <c r="F14" s="197"/>
      <c r="G14" s="197"/>
      <c r="H14" s="197"/>
      <c r="I14" s="197"/>
      <c r="J14" s="197"/>
      <c r="K14" s="197"/>
      <c r="L14" s="197"/>
      <c r="M14" s="197"/>
      <c r="N14" s="197"/>
      <c r="O14" s="197"/>
      <c r="P14" s="197"/>
      <c r="Q14" s="197"/>
      <c r="R14" s="197"/>
      <c r="S14" s="197"/>
      <c r="T14" s="197"/>
      <c r="U14" s="439"/>
      <c r="V14" s="197"/>
      <c r="W14" s="440"/>
      <c r="X14" s="440"/>
      <c r="Y14" s="440"/>
      <c r="Z14" s="197"/>
      <c r="AA14" s="440"/>
      <c r="AB14" s="197"/>
      <c r="AC14" s="440">
        <v>1434372</v>
      </c>
      <c r="AD14" s="440">
        <v>1434372</v>
      </c>
      <c r="AE14" s="440">
        <v>1510695</v>
      </c>
      <c r="AF14" s="441">
        <f t="shared" ref="AF14:AF30" si="1">AE14-C14</f>
        <v>89643</v>
      </c>
      <c r="AG14" s="101">
        <f t="shared" si="0"/>
        <v>76323</v>
      </c>
      <c r="AH14" s="197"/>
      <c r="AI14" s="453"/>
      <c r="AL14" s="9"/>
      <c r="AM14" s="9"/>
      <c r="AN14" s="9"/>
      <c r="AO14" s="9"/>
      <c r="AP14" s="9"/>
      <c r="AT14" s="57"/>
      <c r="AU14" s="57"/>
    </row>
    <row r="15" spans="1:47">
      <c r="A15" s="454" t="s">
        <v>363</v>
      </c>
      <c r="B15" s="454"/>
      <c r="C15" s="95">
        <v>765489</v>
      </c>
      <c r="D15" s="197"/>
      <c r="E15" s="197"/>
      <c r="F15" s="197"/>
      <c r="G15" s="197"/>
      <c r="H15" s="197"/>
      <c r="I15" s="197"/>
      <c r="J15" s="197"/>
      <c r="K15" s="197"/>
      <c r="L15" s="197"/>
      <c r="M15" s="197"/>
      <c r="N15" s="197"/>
      <c r="O15" s="197"/>
      <c r="P15" s="197"/>
      <c r="Q15" s="197"/>
      <c r="R15" s="197"/>
      <c r="S15" s="197"/>
      <c r="T15" s="197"/>
      <c r="U15" s="439"/>
      <c r="V15" s="197"/>
      <c r="W15" s="440"/>
      <c r="X15" s="440"/>
      <c r="Y15" s="440"/>
      <c r="Z15" s="197"/>
      <c r="AA15" s="440"/>
      <c r="AB15" s="197"/>
      <c r="AC15" s="440">
        <v>778514</v>
      </c>
      <c r="AD15" s="440">
        <v>778514</v>
      </c>
      <c r="AE15" s="440">
        <v>817679</v>
      </c>
      <c r="AF15" s="441">
        <f t="shared" si="1"/>
        <v>52190</v>
      </c>
      <c r="AG15" s="101">
        <f t="shared" si="0"/>
        <v>39165</v>
      </c>
      <c r="AH15" s="197"/>
      <c r="AI15" s="453"/>
      <c r="AL15" s="9"/>
      <c r="AM15" s="9"/>
      <c r="AN15" s="9"/>
      <c r="AO15" s="9"/>
      <c r="AP15" s="9"/>
      <c r="AT15" s="57"/>
      <c r="AU15" s="57"/>
    </row>
    <row r="16" spans="1:47">
      <c r="A16" s="454" t="s">
        <v>815</v>
      </c>
      <c r="B16" s="454"/>
      <c r="C16" s="95">
        <v>1439807</v>
      </c>
      <c r="D16" s="197"/>
      <c r="E16" s="197"/>
      <c r="F16" s="197"/>
      <c r="G16" s="197"/>
      <c r="H16" s="197"/>
      <c r="I16" s="197"/>
      <c r="J16" s="197"/>
      <c r="K16" s="197"/>
      <c r="L16" s="197"/>
      <c r="M16" s="197"/>
      <c r="N16" s="197"/>
      <c r="O16" s="197"/>
      <c r="P16" s="197"/>
      <c r="Q16" s="197"/>
      <c r="R16" s="197"/>
      <c r="S16" s="197"/>
      <c r="T16" s="197"/>
      <c r="U16" s="439"/>
      <c r="V16" s="197"/>
      <c r="W16" s="440"/>
      <c r="X16" s="440"/>
      <c r="Y16" s="440"/>
      <c r="Z16" s="197"/>
      <c r="AA16" s="440"/>
      <c r="AB16" s="197"/>
      <c r="AC16" s="440">
        <v>1447124</v>
      </c>
      <c r="AD16" s="440">
        <v>1447124</v>
      </c>
      <c r="AE16" s="440">
        <v>1524353</v>
      </c>
      <c r="AF16" s="441">
        <f t="shared" si="1"/>
        <v>84546</v>
      </c>
      <c r="AG16" s="101">
        <f t="shared" si="0"/>
        <v>77229</v>
      </c>
      <c r="AH16" s="197"/>
      <c r="AI16" s="453"/>
      <c r="AL16" s="9"/>
      <c r="AM16" s="9"/>
      <c r="AN16" s="9"/>
      <c r="AO16" s="9"/>
      <c r="AP16" s="9"/>
      <c r="AT16" s="57"/>
      <c r="AU16" s="57"/>
    </row>
    <row r="17" spans="1:50">
      <c r="A17" s="454" t="s">
        <v>816</v>
      </c>
      <c r="B17" s="454"/>
      <c r="C17" s="95">
        <v>497215</v>
      </c>
      <c r="D17" s="197"/>
      <c r="E17" s="197"/>
      <c r="F17" s="197"/>
      <c r="G17" s="197"/>
      <c r="H17" s="197"/>
      <c r="I17" s="197"/>
      <c r="J17" s="197"/>
      <c r="K17" s="197"/>
      <c r="L17" s="197"/>
      <c r="M17" s="197"/>
      <c r="N17" s="197"/>
      <c r="O17" s="197"/>
      <c r="P17" s="197"/>
      <c r="Q17" s="197"/>
      <c r="R17" s="197"/>
      <c r="S17" s="197"/>
      <c r="T17" s="197"/>
      <c r="U17" s="439"/>
      <c r="V17" s="197"/>
      <c r="W17" s="440"/>
      <c r="X17" s="440"/>
      <c r="Y17" s="440"/>
      <c r="Z17" s="197"/>
      <c r="AA17" s="440"/>
      <c r="AB17" s="197"/>
      <c r="AC17" s="440">
        <v>501131</v>
      </c>
      <c r="AD17" s="440">
        <v>501131</v>
      </c>
      <c r="AE17" s="440">
        <v>524166</v>
      </c>
      <c r="AF17" s="441">
        <f t="shared" si="1"/>
        <v>26951</v>
      </c>
      <c r="AG17" s="101">
        <f t="shared" si="0"/>
        <v>23035</v>
      </c>
      <c r="AH17" s="197"/>
      <c r="AI17" s="453"/>
      <c r="AL17" s="9"/>
      <c r="AM17" s="9"/>
      <c r="AN17" s="9"/>
      <c r="AO17" s="9"/>
      <c r="AP17" s="9"/>
      <c r="AT17" s="57"/>
      <c r="AU17" s="57"/>
    </row>
    <row r="18" spans="1:50">
      <c r="A18" s="454" t="s">
        <v>375</v>
      </c>
      <c r="B18" s="454"/>
      <c r="C18" s="95">
        <v>397128</v>
      </c>
      <c r="D18" s="197"/>
      <c r="E18" s="197"/>
      <c r="F18" s="197"/>
      <c r="G18" s="197"/>
      <c r="H18" s="197"/>
      <c r="I18" s="197"/>
      <c r="J18" s="197"/>
      <c r="K18" s="197"/>
      <c r="L18" s="197"/>
      <c r="M18" s="197"/>
      <c r="N18" s="197"/>
      <c r="O18" s="197"/>
      <c r="P18" s="197"/>
      <c r="Q18" s="197"/>
      <c r="R18" s="197"/>
      <c r="S18" s="197"/>
      <c r="T18" s="197"/>
      <c r="U18" s="439"/>
      <c r="V18" s="197"/>
      <c r="W18" s="440"/>
      <c r="X18" s="440"/>
      <c r="Y18" s="440"/>
      <c r="Z18" s="197"/>
      <c r="AA18" s="440"/>
      <c r="AB18" s="197"/>
      <c r="AC18" s="440">
        <v>401752</v>
      </c>
      <c r="AD18" s="440">
        <v>401752</v>
      </c>
      <c r="AE18" s="440">
        <v>416836</v>
      </c>
      <c r="AF18" s="441">
        <f t="shared" si="1"/>
        <v>19708</v>
      </c>
      <c r="AG18" s="101">
        <f t="shared" si="0"/>
        <v>15084</v>
      </c>
      <c r="AH18" s="197"/>
      <c r="AI18" s="453"/>
      <c r="AL18" s="9"/>
      <c r="AM18" s="9"/>
      <c r="AN18" s="9"/>
      <c r="AO18" s="9"/>
      <c r="AP18" s="9"/>
      <c r="AT18" s="57"/>
      <c r="AU18" s="57"/>
    </row>
    <row r="19" spans="1:50">
      <c r="A19" s="454" t="s">
        <v>379</v>
      </c>
      <c r="B19" s="454"/>
      <c r="C19" s="95">
        <v>326173</v>
      </c>
      <c r="D19" s="197"/>
      <c r="E19" s="197"/>
      <c r="F19" s="197"/>
      <c r="G19" s="197"/>
      <c r="H19" s="197"/>
      <c r="I19" s="197"/>
      <c r="J19" s="197"/>
      <c r="K19" s="197"/>
      <c r="L19" s="197"/>
      <c r="M19" s="197"/>
      <c r="N19" s="197"/>
      <c r="O19" s="197"/>
      <c r="P19" s="197"/>
      <c r="Q19" s="197"/>
      <c r="R19" s="197"/>
      <c r="S19" s="197"/>
      <c r="T19" s="197"/>
      <c r="U19" s="439"/>
      <c r="V19" s="197"/>
      <c r="W19" s="440"/>
      <c r="X19" s="440"/>
      <c r="Y19" s="440"/>
      <c r="Z19" s="197"/>
      <c r="AA19" s="440"/>
      <c r="AB19" s="197"/>
      <c r="AC19" s="440">
        <v>327563</v>
      </c>
      <c r="AD19" s="440">
        <v>327563</v>
      </c>
      <c r="AE19" s="440">
        <v>340415</v>
      </c>
      <c r="AF19" s="441">
        <f t="shared" si="1"/>
        <v>14242</v>
      </c>
      <c r="AG19" s="101">
        <f t="shared" si="0"/>
        <v>12852</v>
      </c>
      <c r="AH19" s="197"/>
      <c r="AI19" s="453"/>
      <c r="AL19" s="9"/>
      <c r="AM19" s="9"/>
      <c r="AN19" s="9"/>
      <c r="AO19" s="9"/>
      <c r="AP19" s="9"/>
      <c r="AT19" s="57"/>
      <c r="AU19" s="57"/>
    </row>
    <row r="20" spans="1:50">
      <c r="A20" s="454" t="s">
        <v>817</v>
      </c>
      <c r="B20" s="454"/>
      <c r="C20" s="95">
        <v>511676</v>
      </c>
      <c r="D20" s="197"/>
      <c r="E20" s="197"/>
      <c r="F20" s="197"/>
      <c r="G20" s="197"/>
      <c r="H20" s="197"/>
      <c r="I20" s="197"/>
      <c r="J20" s="197"/>
      <c r="K20" s="197"/>
      <c r="L20" s="197"/>
      <c r="M20" s="197"/>
      <c r="N20" s="197"/>
      <c r="O20" s="197"/>
      <c r="P20" s="197"/>
      <c r="Q20" s="197"/>
      <c r="R20" s="197"/>
      <c r="S20" s="197"/>
      <c r="T20" s="197"/>
      <c r="U20" s="439"/>
      <c r="V20" s="197"/>
      <c r="W20" s="440"/>
      <c r="X20" s="440"/>
      <c r="Y20" s="440"/>
      <c r="Z20" s="197"/>
      <c r="AA20" s="440"/>
      <c r="AB20" s="197"/>
      <c r="AC20" s="440">
        <v>515382</v>
      </c>
      <c r="AD20" s="440">
        <v>515382</v>
      </c>
      <c r="AE20" s="440">
        <v>540792</v>
      </c>
      <c r="AF20" s="441">
        <f t="shared" si="1"/>
        <v>29116</v>
      </c>
      <c r="AG20" s="101">
        <f t="shared" si="0"/>
        <v>25410</v>
      </c>
      <c r="AH20" s="197"/>
      <c r="AI20" s="451"/>
      <c r="AL20" s="9"/>
      <c r="AM20" s="9"/>
      <c r="AN20" s="9"/>
      <c r="AO20" s="9"/>
      <c r="AP20" s="9"/>
      <c r="AT20" s="57"/>
      <c r="AU20" s="57"/>
    </row>
    <row r="21" spans="1:50">
      <c r="A21" s="454" t="s">
        <v>818</v>
      </c>
      <c r="B21" s="454"/>
      <c r="C21" s="95">
        <v>437795</v>
      </c>
      <c r="D21" s="197"/>
      <c r="E21" s="197"/>
      <c r="F21" s="197"/>
      <c r="G21" s="197"/>
      <c r="H21" s="197"/>
      <c r="I21" s="197"/>
      <c r="J21" s="197"/>
      <c r="K21" s="197"/>
      <c r="L21" s="197"/>
      <c r="M21" s="197"/>
      <c r="N21" s="197"/>
      <c r="O21" s="197"/>
      <c r="P21" s="197"/>
      <c r="Q21" s="197"/>
      <c r="R21" s="197"/>
      <c r="S21" s="197"/>
      <c r="T21" s="197"/>
      <c r="U21" s="439"/>
      <c r="V21" s="197"/>
      <c r="W21" s="440"/>
      <c r="X21" s="440"/>
      <c r="Y21" s="440"/>
      <c r="Z21" s="197"/>
      <c r="AA21" s="440"/>
      <c r="AB21" s="197"/>
      <c r="AC21" s="440">
        <v>442103</v>
      </c>
      <c r="AD21" s="440">
        <v>442103</v>
      </c>
      <c r="AE21" s="440">
        <v>462233</v>
      </c>
      <c r="AF21" s="441">
        <f t="shared" si="1"/>
        <v>24438</v>
      </c>
      <c r="AG21" s="101">
        <f t="shared" si="0"/>
        <v>20130</v>
      </c>
      <c r="AH21" s="197"/>
      <c r="AI21" s="9"/>
      <c r="AL21" s="9"/>
      <c r="AM21" s="9"/>
      <c r="AN21" s="9"/>
      <c r="AO21" s="9"/>
      <c r="AP21" s="9"/>
      <c r="AT21" s="57"/>
      <c r="AU21" s="57"/>
    </row>
    <row r="22" spans="1:50">
      <c r="A22" s="454" t="s">
        <v>391</v>
      </c>
      <c r="B22" s="454"/>
      <c r="C22" s="95">
        <v>599300</v>
      </c>
      <c r="D22" s="197"/>
      <c r="E22" s="197"/>
      <c r="F22" s="197"/>
      <c r="G22" s="197"/>
      <c r="H22" s="197"/>
      <c r="I22" s="197"/>
      <c r="J22" s="197"/>
      <c r="K22" s="197"/>
      <c r="L22" s="197"/>
      <c r="M22" s="197"/>
      <c r="N22" s="197"/>
      <c r="O22" s="197"/>
      <c r="P22" s="197"/>
      <c r="Q22" s="197"/>
      <c r="R22" s="197"/>
      <c r="S22" s="197"/>
      <c r="T22" s="197"/>
      <c r="U22" s="439"/>
      <c r="V22" s="197"/>
      <c r="W22" s="440"/>
      <c r="X22" s="440"/>
      <c r="Y22" s="440"/>
      <c r="Z22" s="197"/>
      <c r="AA22" s="440"/>
      <c r="AB22" s="197"/>
      <c r="AC22" s="440">
        <v>603896</v>
      </c>
      <c r="AD22" s="440">
        <v>603896</v>
      </c>
      <c r="AE22" s="440">
        <v>632077</v>
      </c>
      <c r="AF22" s="441">
        <f t="shared" si="1"/>
        <v>32777</v>
      </c>
      <c r="AG22" s="101">
        <f t="shared" si="0"/>
        <v>28181</v>
      </c>
      <c r="AH22" s="197"/>
      <c r="AI22" s="9"/>
      <c r="AL22" s="9"/>
      <c r="AM22" s="9"/>
      <c r="AN22" s="9"/>
      <c r="AO22" s="9"/>
      <c r="AP22" s="9"/>
      <c r="AT22" s="57"/>
      <c r="AU22" s="57"/>
    </row>
    <row r="23" spans="1:50">
      <c r="A23" s="454" t="s">
        <v>395</v>
      </c>
      <c r="B23" s="454"/>
      <c r="C23" s="95">
        <v>181432</v>
      </c>
      <c r="D23" s="197"/>
      <c r="E23" s="197"/>
      <c r="F23" s="197"/>
      <c r="G23" s="197"/>
      <c r="H23" s="197"/>
      <c r="I23" s="197"/>
      <c r="J23" s="197"/>
      <c r="K23" s="197"/>
      <c r="L23" s="197"/>
      <c r="M23" s="197"/>
      <c r="N23" s="197"/>
      <c r="O23" s="197"/>
      <c r="P23" s="197"/>
      <c r="Q23" s="197"/>
      <c r="R23" s="197"/>
      <c r="S23" s="197"/>
      <c r="T23" s="197"/>
      <c r="U23" s="439"/>
      <c r="V23" s="197"/>
      <c r="W23" s="440"/>
      <c r="X23" s="440"/>
      <c r="Y23" s="440"/>
      <c r="Z23" s="197"/>
      <c r="AA23" s="440"/>
      <c r="AB23" s="197"/>
      <c r="AC23" s="440">
        <v>182428</v>
      </c>
      <c r="AD23" s="440">
        <v>182428</v>
      </c>
      <c r="AE23" s="440">
        <v>190066</v>
      </c>
      <c r="AF23" s="441">
        <f t="shared" si="1"/>
        <v>8634</v>
      </c>
      <c r="AG23" s="101">
        <f t="shared" si="0"/>
        <v>7638</v>
      </c>
      <c r="AH23" s="197"/>
      <c r="AI23" s="9"/>
      <c r="AL23" s="9"/>
      <c r="AM23" s="9"/>
      <c r="AN23" s="9"/>
      <c r="AO23" s="9"/>
      <c r="AP23" s="9"/>
      <c r="AT23" s="57"/>
      <c r="AU23" s="57"/>
    </row>
    <row r="24" spans="1:50">
      <c r="A24" s="454" t="s">
        <v>399</v>
      </c>
      <c r="B24" s="454"/>
      <c r="C24" s="95">
        <v>876351</v>
      </c>
      <c r="D24" s="197"/>
      <c r="E24" s="197"/>
      <c r="F24" s="197"/>
      <c r="G24" s="197"/>
      <c r="H24" s="197"/>
      <c r="I24" s="197"/>
      <c r="J24" s="197"/>
      <c r="K24" s="197"/>
      <c r="L24" s="197"/>
      <c r="M24" s="197"/>
      <c r="N24" s="197"/>
      <c r="O24" s="197"/>
      <c r="P24" s="197"/>
      <c r="Q24" s="197"/>
      <c r="R24" s="197"/>
      <c r="S24" s="197"/>
      <c r="T24" s="197"/>
      <c r="U24" s="439"/>
      <c r="V24" s="197"/>
      <c r="W24" s="440"/>
      <c r="X24" s="440"/>
      <c r="Y24" s="440"/>
      <c r="Z24" s="197"/>
      <c r="AA24" s="440"/>
      <c r="AB24" s="197"/>
      <c r="AC24" s="440">
        <v>884027</v>
      </c>
      <c r="AD24" s="440">
        <v>884027</v>
      </c>
      <c r="AE24" s="440">
        <v>926825</v>
      </c>
      <c r="AF24" s="441">
        <f t="shared" si="1"/>
        <v>50474</v>
      </c>
      <c r="AG24" s="101">
        <f t="shared" si="0"/>
        <v>42798</v>
      </c>
      <c r="AH24" s="197"/>
      <c r="AI24" s="9"/>
      <c r="AL24" s="9"/>
      <c r="AM24" s="9"/>
      <c r="AN24" s="9"/>
      <c r="AO24" s="9"/>
      <c r="AP24" s="9"/>
      <c r="AT24" s="57"/>
      <c r="AU24" s="57"/>
    </row>
    <row r="25" spans="1:50">
      <c r="A25" s="454" t="s">
        <v>405</v>
      </c>
      <c r="B25" s="454"/>
      <c r="C25" s="95">
        <v>165267</v>
      </c>
      <c r="D25" s="197"/>
      <c r="E25" s="197"/>
      <c r="F25" s="197"/>
      <c r="G25" s="197"/>
      <c r="H25" s="197"/>
      <c r="I25" s="197"/>
      <c r="J25" s="197"/>
      <c r="K25" s="197"/>
      <c r="L25" s="197"/>
      <c r="M25" s="197"/>
      <c r="N25" s="197"/>
      <c r="O25" s="197"/>
      <c r="P25" s="197"/>
      <c r="Q25" s="197"/>
      <c r="R25" s="197"/>
      <c r="S25" s="197"/>
      <c r="T25" s="197"/>
      <c r="U25" s="439"/>
      <c r="V25" s="197"/>
      <c r="W25" s="440"/>
      <c r="X25" s="440"/>
      <c r="Y25" s="440"/>
      <c r="Z25" s="197"/>
      <c r="AA25" s="440"/>
      <c r="AB25" s="197"/>
      <c r="AC25" s="440">
        <v>166215</v>
      </c>
      <c r="AD25" s="440">
        <v>166215</v>
      </c>
      <c r="AE25" s="440">
        <v>171979</v>
      </c>
      <c r="AF25" s="441">
        <f t="shared" si="1"/>
        <v>6712</v>
      </c>
      <c r="AG25" s="101">
        <f t="shared" si="0"/>
        <v>5764</v>
      </c>
      <c r="AH25" s="197"/>
      <c r="AI25" s="9"/>
      <c r="AL25" s="9"/>
      <c r="AM25" s="9"/>
      <c r="AN25" s="9"/>
      <c r="AO25" s="9"/>
      <c r="AP25" s="9"/>
      <c r="AT25" s="57"/>
      <c r="AU25" s="57"/>
    </row>
    <row r="26" spans="1:50">
      <c r="A26" s="454" t="s">
        <v>411</v>
      </c>
      <c r="B26" s="454"/>
      <c r="C26" s="95">
        <v>345188</v>
      </c>
      <c r="D26" s="197"/>
      <c r="E26" s="197"/>
      <c r="F26" s="197"/>
      <c r="G26" s="197"/>
      <c r="H26" s="197"/>
      <c r="I26" s="197"/>
      <c r="J26" s="197"/>
      <c r="K26" s="197"/>
      <c r="L26" s="197"/>
      <c r="M26" s="197"/>
      <c r="N26" s="197"/>
      <c r="O26" s="197"/>
      <c r="P26" s="197"/>
      <c r="Q26" s="197"/>
      <c r="R26" s="197"/>
      <c r="S26" s="197"/>
      <c r="T26" s="197"/>
      <c r="U26" s="439"/>
      <c r="V26" s="197"/>
      <c r="W26" s="440"/>
      <c r="X26" s="440"/>
      <c r="Y26" s="440"/>
      <c r="Z26" s="197"/>
      <c r="AA26" s="440"/>
      <c r="AB26" s="197"/>
      <c r="AC26" s="440">
        <v>349770</v>
      </c>
      <c r="AD26" s="440">
        <v>349770</v>
      </c>
      <c r="AE26" s="440">
        <v>362111</v>
      </c>
      <c r="AF26" s="441">
        <f t="shared" si="1"/>
        <v>16923</v>
      </c>
      <c r="AG26" s="101">
        <f t="shared" si="0"/>
        <v>12341</v>
      </c>
      <c r="AH26" s="197"/>
      <c r="AI26" s="9"/>
      <c r="AL26" s="9"/>
      <c r="AM26" s="9"/>
      <c r="AN26" s="9"/>
      <c r="AO26" s="9"/>
      <c r="AP26" s="9"/>
      <c r="AQ26" s="9"/>
      <c r="AR26" s="9"/>
      <c r="AS26" s="9"/>
      <c r="AT26" s="57"/>
      <c r="AU26" s="57"/>
      <c r="AV26" s="9"/>
      <c r="AW26" s="9"/>
      <c r="AX26" s="9"/>
    </row>
    <row r="27" spans="1:50">
      <c r="A27" s="454" t="s">
        <v>417</v>
      </c>
      <c r="B27" s="454"/>
      <c r="C27" s="95">
        <v>1197666</v>
      </c>
      <c r="D27" s="197"/>
      <c r="E27" s="197"/>
      <c r="F27" s="197"/>
      <c r="G27" s="197"/>
      <c r="H27" s="197"/>
      <c r="I27" s="197"/>
      <c r="J27" s="197"/>
      <c r="K27" s="197"/>
      <c r="L27" s="197"/>
      <c r="M27" s="197"/>
      <c r="N27" s="197"/>
      <c r="O27" s="197"/>
      <c r="P27" s="197"/>
      <c r="Q27" s="197"/>
      <c r="R27" s="197"/>
      <c r="S27" s="197"/>
      <c r="T27" s="197"/>
      <c r="U27" s="439"/>
      <c r="V27" s="197"/>
      <c r="W27" s="440"/>
      <c r="X27" s="440"/>
      <c r="Y27" s="440"/>
      <c r="Z27" s="323"/>
      <c r="AA27" s="440"/>
      <c r="AB27" s="323"/>
      <c r="AC27" s="440">
        <v>1206301</v>
      </c>
      <c r="AD27" s="440">
        <v>1206301</v>
      </c>
      <c r="AE27" s="440">
        <v>1262909</v>
      </c>
      <c r="AF27" s="441">
        <f t="shared" si="1"/>
        <v>65243</v>
      </c>
      <c r="AG27" s="101">
        <f t="shared" si="0"/>
        <v>56608</v>
      </c>
      <c r="AH27" s="323"/>
      <c r="AI27" s="9"/>
      <c r="AL27" s="9"/>
      <c r="AM27" s="9"/>
      <c r="AN27" s="9"/>
      <c r="AO27" s="9"/>
      <c r="AP27" s="9"/>
      <c r="AQ27" s="9"/>
      <c r="AR27" s="9"/>
      <c r="AS27" s="9"/>
      <c r="AT27" s="57"/>
      <c r="AU27" s="57"/>
      <c r="AV27" s="9"/>
      <c r="AW27" s="9"/>
      <c r="AX27" s="9"/>
    </row>
    <row r="28" spans="1:50">
      <c r="A28" s="454" t="s">
        <v>422</v>
      </c>
      <c r="B28" s="454"/>
      <c r="C28" s="95">
        <v>140030</v>
      </c>
      <c r="D28" s="197"/>
      <c r="E28" s="197"/>
      <c r="F28" s="197"/>
      <c r="G28" s="197"/>
      <c r="H28" s="197"/>
      <c r="I28" s="197"/>
      <c r="J28" s="197"/>
      <c r="K28" s="197"/>
      <c r="L28" s="197"/>
      <c r="M28" s="197"/>
      <c r="N28" s="197"/>
      <c r="O28" s="197"/>
      <c r="P28" s="197"/>
      <c r="Q28" s="197"/>
      <c r="R28" s="197"/>
      <c r="S28" s="197"/>
      <c r="T28" s="197"/>
      <c r="U28" s="439"/>
      <c r="V28" s="197"/>
      <c r="W28" s="440"/>
      <c r="X28" s="440"/>
      <c r="Y28" s="440"/>
      <c r="Z28" s="323"/>
      <c r="AA28" s="440"/>
      <c r="AB28" s="323"/>
      <c r="AC28" s="440">
        <v>140650</v>
      </c>
      <c r="AD28" s="440">
        <v>140650</v>
      </c>
      <c r="AE28" s="440">
        <v>149112</v>
      </c>
      <c r="AF28" s="441">
        <f t="shared" si="1"/>
        <v>9082</v>
      </c>
      <c r="AG28" s="101">
        <f t="shared" si="0"/>
        <v>8462</v>
      </c>
      <c r="AH28" s="323"/>
      <c r="AI28" s="9"/>
      <c r="AL28" s="9"/>
      <c r="AM28" s="9"/>
      <c r="AN28" s="9"/>
      <c r="AO28" s="9"/>
      <c r="AP28" s="9"/>
      <c r="AQ28" s="9"/>
      <c r="AR28" s="9"/>
      <c r="AS28" s="9"/>
      <c r="AT28" s="57"/>
      <c r="AU28" s="57"/>
      <c r="AV28" s="9"/>
      <c r="AW28" s="9"/>
      <c r="AX28" s="9"/>
    </row>
    <row r="29" spans="1:50">
      <c r="A29" s="454" t="s">
        <v>427</v>
      </c>
      <c r="B29" s="454"/>
      <c r="C29" s="95">
        <v>1531538</v>
      </c>
      <c r="D29" s="197"/>
      <c r="E29" s="197"/>
      <c r="F29" s="197"/>
      <c r="G29" s="197"/>
      <c r="H29" s="197"/>
      <c r="I29" s="197"/>
      <c r="J29" s="197"/>
      <c r="K29" s="197"/>
      <c r="L29" s="197"/>
      <c r="M29" s="197"/>
      <c r="N29" s="197"/>
      <c r="O29" s="197"/>
      <c r="P29" s="197"/>
      <c r="Q29" s="197"/>
      <c r="R29" s="197"/>
      <c r="S29" s="197"/>
      <c r="T29" s="197"/>
      <c r="U29" s="439"/>
      <c r="V29" s="197"/>
      <c r="W29" s="440"/>
      <c r="X29" s="440"/>
      <c r="Y29" s="440"/>
      <c r="Z29" s="323"/>
      <c r="AA29" s="440"/>
      <c r="AB29" s="323"/>
      <c r="AC29" s="440">
        <v>1541548</v>
      </c>
      <c r="AD29" s="440">
        <v>1541548</v>
      </c>
      <c r="AE29" s="440">
        <v>1622080</v>
      </c>
      <c r="AF29" s="441">
        <f t="shared" si="1"/>
        <v>90542</v>
      </c>
      <c r="AG29" s="101">
        <f t="shared" si="0"/>
        <v>80532</v>
      </c>
      <c r="AH29" s="323"/>
      <c r="AI29" s="9"/>
      <c r="AL29" s="9"/>
      <c r="AM29" s="9"/>
      <c r="AN29" s="9"/>
      <c r="AO29" s="9"/>
      <c r="AP29" s="9"/>
      <c r="AQ29" s="9"/>
      <c r="AR29" s="9"/>
      <c r="AS29" s="9"/>
      <c r="AT29" s="57"/>
      <c r="AU29" s="57"/>
      <c r="AV29" s="9"/>
      <c r="AW29" s="9"/>
      <c r="AX29" s="9"/>
    </row>
    <row r="30" spans="1:50">
      <c r="A30" s="454" t="s">
        <v>432</v>
      </c>
      <c r="B30" s="454"/>
      <c r="C30" s="95">
        <v>132618</v>
      </c>
      <c r="D30" s="197"/>
      <c r="E30" s="197"/>
      <c r="F30" s="197"/>
      <c r="G30" s="197"/>
      <c r="H30" s="197"/>
      <c r="I30" s="197"/>
      <c r="J30" s="197"/>
      <c r="K30" s="197"/>
      <c r="L30" s="197"/>
      <c r="M30" s="197"/>
      <c r="N30" s="197"/>
      <c r="O30" s="197"/>
      <c r="P30" s="197"/>
      <c r="Q30" s="197"/>
      <c r="R30" s="197"/>
      <c r="S30" s="197"/>
      <c r="T30" s="197"/>
      <c r="U30" s="439"/>
      <c r="V30" s="197"/>
      <c r="W30" s="440"/>
      <c r="X30" s="440"/>
      <c r="Y30" s="440"/>
      <c r="Z30" s="323"/>
      <c r="AA30" s="440"/>
      <c r="AB30" s="323"/>
      <c r="AC30" s="440">
        <v>133949</v>
      </c>
      <c r="AD30" s="440">
        <v>133949</v>
      </c>
      <c r="AE30" s="440">
        <v>137668</v>
      </c>
      <c r="AF30" s="441">
        <f t="shared" si="1"/>
        <v>5050</v>
      </c>
      <c r="AG30" s="101">
        <f t="shared" si="0"/>
        <v>3719</v>
      </c>
      <c r="AH30" s="323"/>
      <c r="AI30" s="9"/>
      <c r="AL30" s="9"/>
      <c r="AM30" s="9"/>
      <c r="AN30" s="9"/>
      <c r="AO30" s="9"/>
      <c r="AP30" s="9"/>
      <c r="AQ30" s="9"/>
      <c r="AR30" s="9"/>
      <c r="AS30" s="9"/>
      <c r="AT30" s="57"/>
      <c r="AU30" s="57"/>
      <c r="AV30" s="9"/>
      <c r="AW30" s="9"/>
      <c r="AX30" s="9"/>
    </row>
    <row r="31" spans="1:50">
      <c r="A31" s="455" t="s">
        <v>436</v>
      </c>
      <c r="B31" s="455"/>
      <c r="C31" s="456">
        <v>225131</v>
      </c>
      <c r="D31" s="457"/>
      <c r="E31" s="457"/>
      <c r="F31" s="457"/>
      <c r="G31" s="457"/>
      <c r="H31" s="457"/>
      <c r="I31" s="457"/>
      <c r="J31" s="457"/>
      <c r="K31" s="457"/>
      <c r="L31" s="457"/>
      <c r="M31" s="457"/>
      <c r="N31" s="457"/>
      <c r="O31" s="457"/>
      <c r="P31" s="457"/>
      <c r="Q31" s="457"/>
      <c r="R31" s="457"/>
      <c r="S31" s="457"/>
      <c r="T31" s="457"/>
      <c r="U31" s="458"/>
      <c r="V31" s="457"/>
      <c r="W31" s="459"/>
      <c r="X31" s="459"/>
      <c r="Y31" s="459"/>
      <c r="Z31" s="460"/>
      <c r="AA31" s="459"/>
      <c r="AB31" s="101"/>
      <c r="AC31" s="459">
        <v>226852</v>
      </c>
      <c r="AD31" s="459">
        <v>226852</v>
      </c>
      <c r="AE31" s="459">
        <v>234337</v>
      </c>
      <c r="AF31" s="461">
        <f>AE31-C31</f>
        <v>9206</v>
      </c>
      <c r="AG31" s="462">
        <f>AE31-AD31</f>
        <v>7485</v>
      </c>
      <c r="AH31" s="101"/>
      <c r="AI31" s="9"/>
      <c r="AL31" s="9"/>
      <c r="AM31" s="9"/>
      <c r="AN31" s="9"/>
      <c r="AO31" s="9"/>
      <c r="AP31" s="9"/>
      <c r="AQ31" s="9"/>
      <c r="AR31" s="9"/>
      <c r="AS31" s="9"/>
      <c r="AT31" s="57"/>
      <c r="AU31" s="57"/>
      <c r="AV31" s="9"/>
      <c r="AW31" s="9"/>
      <c r="AX31" s="9"/>
    </row>
    <row r="32" spans="1:50">
      <c r="A32" s="463" t="s">
        <v>89</v>
      </c>
      <c r="C32" s="438">
        <v>13235709</v>
      </c>
      <c r="D32" s="464">
        <f>MedicalSalaryIncreases19</f>
        <v>4.6420985685981915E-2</v>
      </c>
      <c r="E32" s="464">
        <f>MedicalProportion19</f>
        <v>0.15457144766055803</v>
      </c>
      <c r="F32" s="464">
        <f>NursingSalaryIncrease19</f>
        <v>0.11026663022927639</v>
      </c>
      <c r="G32" s="464">
        <f>NursingProportion19</f>
        <v>0.18969246389955757</v>
      </c>
      <c r="H32" s="464">
        <f>OtherDHBWageIncreases19</f>
        <v>7.3589879181061787E-2</v>
      </c>
      <c r="I32" s="464">
        <f>OtherWageProportion19</f>
        <v>0.14708079721781922</v>
      </c>
      <c r="J32" s="464">
        <f>DHBFundedWageIncreases19</f>
        <v>3.2000000000000001E-2</v>
      </c>
      <c r="K32" s="464">
        <f>DHBFundedProportion19</f>
        <v>0.14212639060535989</v>
      </c>
      <c r="L32" s="464">
        <f>NonLabourHealthServicesCostIncrease19</f>
        <v>0.02</v>
      </c>
      <c r="M32" s="464">
        <f>NonLabourProportion19</f>
        <v>0.36652890061670529</v>
      </c>
      <c r="N32" s="197"/>
      <c r="O32" s="464">
        <f>PopulationGrowth19</f>
        <v>2.3278682332490863E-2</v>
      </c>
      <c r="P32" s="464">
        <f>NonDemographicGrowth19</f>
        <v>0</v>
      </c>
      <c r="Q32" s="464">
        <f>ProductivityGrowth19</f>
        <v>0</v>
      </c>
      <c r="R32" s="464"/>
      <c r="S32" s="464"/>
      <c r="T32" s="464"/>
      <c r="U32" s="465">
        <f>((1+D32)*E32+(1+F32)*G32+(1+H32)*I32+(1+J32)*K32+(1+L32+N32)*M32)*(1+O32)*(1+P32)*(1-Q32)+R32*(1+S32)-1</f>
        <v>7.525549710520707E-2</v>
      </c>
      <c r="V32" s="38"/>
      <c r="W32" s="466">
        <f>K95</f>
        <v>42500</v>
      </c>
      <c r="X32" s="466">
        <f>G95</f>
        <v>5652</v>
      </c>
      <c r="Y32" s="438">
        <f>C32*(1+U32)+W32+X32-'Notes 2019-20 post-Budget'!I41*1000</f>
        <v>14119628.875037385</v>
      </c>
      <c r="Z32" s="438"/>
      <c r="AA32" s="438">
        <f>Y32-C32</f>
        <v>883919.87503738515</v>
      </c>
      <c r="AB32" s="438"/>
      <c r="AC32" s="441">
        <f>SUM(AC12:AC31)</f>
        <v>13342719</v>
      </c>
      <c r="AD32" s="441">
        <f>SUM(AD12:AD31)</f>
        <v>13342719</v>
      </c>
      <c r="AE32" s="441">
        <f>SUM(AE12:AE31)</f>
        <v>13980266</v>
      </c>
      <c r="AF32" s="441">
        <f>AE32-C32</f>
        <v>744557</v>
      </c>
      <c r="AG32" s="441">
        <f t="shared" si="0"/>
        <v>637547</v>
      </c>
      <c r="AH32" s="438"/>
      <c r="AI32" s="442">
        <f>Y32-W32-AE32-X32</f>
        <v>91210.875037385151</v>
      </c>
      <c r="AJ32" s="443">
        <f>AI32+E95</f>
        <v>139210.87503738515</v>
      </c>
      <c r="AK32" s="443">
        <f>AJ32+G95</f>
        <v>144862.87503738515</v>
      </c>
      <c r="AL32" s="444">
        <f>AK32+I95</f>
        <v>139362.87503738515</v>
      </c>
      <c r="AM32" s="9"/>
      <c r="AN32" s="9"/>
      <c r="AO32" s="9"/>
      <c r="AP32" s="9"/>
      <c r="AQ32" s="9"/>
      <c r="AR32" s="9"/>
      <c r="AS32" s="9"/>
      <c r="AT32" s="9"/>
      <c r="AU32" s="9"/>
      <c r="AV32" s="9"/>
      <c r="AW32" s="9"/>
      <c r="AX32" s="9"/>
    </row>
    <row r="33" spans="1:50">
      <c r="A33" s="103"/>
      <c r="B33" s="38"/>
      <c r="C33" s="95"/>
      <c r="D33" s="95">
        <f>$C$32*(1+D32)*E32</f>
        <v>2140833.6640998768</v>
      </c>
      <c r="E33" s="95"/>
      <c r="F33" s="95">
        <f>$C$32*(1+F32)*G32</f>
        <v>2787562.2516675494</v>
      </c>
      <c r="G33" s="95"/>
      <c r="H33" s="95">
        <f>$C$32*(1+H32)*I32</f>
        <v>2089977.4203519537</v>
      </c>
      <c r="I33" s="95"/>
      <c r="J33" s="197"/>
      <c r="K33" s="197"/>
      <c r="L33" s="197"/>
      <c r="M33" s="197"/>
      <c r="N33" s="197"/>
      <c r="O33" s="197"/>
      <c r="P33" s="197"/>
      <c r="Q33" s="197"/>
      <c r="R33" s="197"/>
      <c r="S33" s="197"/>
      <c r="T33" s="197"/>
      <c r="U33" s="445"/>
      <c r="V33" s="446" t="s">
        <v>813</v>
      </c>
      <c r="Y33" s="447">
        <f>Y32-W32-X32</f>
        <v>14071476.875037385</v>
      </c>
      <c r="Z33" s="448" t="s">
        <v>290</v>
      </c>
      <c r="AA33" s="153">
        <f>AA32/C32</f>
        <v>6.6782963801741577E-2</v>
      </c>
      <c r="AB33" s="9"/>
      <c r="AC33" s="449">
        <f>AC32-$C32</f>
        <v>107010</v>
      </c>
      <c r="AD33" s="467">
        <f>AD32-$C32</f>
        <v>107010</v>
      </c>
      <c r="AE33" s="468" t="s">
        <v>814</v>
      </c>
      <c r="AF33" s="467">
        <f>AA32-AF32</f>
        <v>139362.87503738515</v>
      </c>
      <c r="AG33" s="449">
        <f>AA32-AG32</f>
        <v>246372.87503738515</v>
      </c>
      <c r="AH33" s="9"/>
      <c r="AI33" s="9"/>
      <c r="AJ33" s="451"/>
      <c r="AK33" s="9"/>
      <c r="AL33" s="9"/>
      <c r="AM33" s="9"/>
      <c r="AN33" s="9"/>
      <c r="AO33" s="9"/>
      <c r="AP33" s="9"/>
      <c r="AQ33" s="9"/>
      <c r="AR33" s="9"/>
      <c r="AS33" s="9"/>
      <c r="AT33" s="9"/>
      <c r="AU33" s="9"/>
      <c r="AV33" s="9"/>
      <c r="AW33" s="9"/>
      <c r="AX33" s="9"/>
    </row>
    <row r="34" spans="1:50">
      <c r="A34" s="463"/>
      <c r="B34" s="438"/>
      <c r="C34" s="95"/>
      <c r="D34" s="95"/>
      <c r="E34" s="197"/>
      <c r="F34" s="95"/>
      <c r="G34" s="197"/>
      <c r="H34" s="95"/>
      <c r="I34" s="197"/>
      <c r="J34" s="197"/>
      <c r="K34" s="197"/>
      <c r="L34" s="197"/>
      <c r="M34" s="197"/>
      <c r="N34" s="197"/>
      <c r="O34" s="197"/>
      <c r="P34" s="197"/>
      <c r="Q34" s="197"/>
      <c r="R34" s="197"/>
      <c r="S34" s="197"/>
      <c r="T34" s="197"/>
      <c r="V34" s="452" t="s">
        <v>290</v>
      </c>
      <c r="W34" s="123"/>
      <c r="X34" s="123"/>
      <c r="Y34" s="447">
        <f>Y33-C32</f>
        <v>835767.87503738515</v>
      </c>
      <c r="AC34" s="95"/>
      <c r="AE34" s="95"/>
      <c r="AF34" s="95"/>
      <c r="AI34" s="9"/>
      <c r="AJ34" s="9"/>
      <c r="AK34" s="9"/>
      <c r="AL34" s="9"/>
      <c r="AM34" s="9"/>
      <c r="AN34" s="9"/>
      <c r="AO34" s="9"/>
      <c r="AP34" s="9"/>
      <c r="AQ34" s="9"/>
      <c r="AR34" s="9"/>
      <c r="AS34" s="9"/>
      <c r="AT34" s="9"/>
      <c r="AU34" s="9"/>
      <c r="AV34" s="9"/>
      <c r="AW34" s="9"/>
      <c r="AX34" s="9"/>
    </row>
    <row r="35" spans="1:50">
      <c r="A35" s="463"/>
      <c r="B35" s="438"/>
      <c r="C35" s="95"/>
      <c r="D35" s="469"/>
      <c r="E35" s="469"/>
      <c r="F35" s="469"/>
      <c r="G35" s="197"/>
      <c r="H35" s="197"/>
      <c r="I35" s="197"/>
      <c r="J35" s="197"/>
      <c r="K35" s="197"/>
      <c r="L35" s="197"/>
      <c r="M35" s="197"/>
      <c r="N35" s="197"/>
      <c r="O35" s="197"/>
      <c r="P35" s="197"/>
      <c r="Q35" s="197"/>
      <c r="R35" s="197"/>
      <c r="S35" s="197"/>
      <c r="T35" s="197"/>
      <c r="V35" s="452"/>
      <c r="W35" s="123"/>
      <c r="X35" s="123"/>
      <c r="Y35" s="447"/>
      <c r="AC35" s="470"/>
      <c r="AD35" s="470"/>
      <c r="AE35" s="470"/>
      <c r="AF35" s="441"/>
      <c r="AG35" s="101"/>
      <c r="AI35" s="9"/>
      <c r="AJ35" s="9"/>
      <c r="AK35" s="9"/>
      <c r="AL35" s="9"/>
      <c r="AM35" s="9"/>
      <c r="AN35" s="9"/>
      <c r="AO35" s="9"/>
      <c r="AP35" s="9"/>
      <c r="AQ35" s="9"/>
      <c r="AR35" s="9"/>
      <c r="AS35" s="9"/>
      <c r="AT35" s="9"/>
      <c r="AU35" s="9"/>
      <c r="AV35" s="9"/>
      <c r="AW35" s="9"/>
      <c r="AX35" s="9"/>
    </row>
    <row r="36" spans="1:50">
      <c r="A36" s="103" t="s">
        <v>54</v>
      </c>
      <c r="B36" s="438"/>
      <c r="C36" s="95">
        <v>1000</v>
      </c>
      <c r="D36" s="471"/>
      <c r="E36" s="471"/>
      <c r="F36" s="471"/>
      <c r="G36" s="471"/>
      <c r="H36" s="471"/>
      <c r="I36" s="471"/>
      <c r="J36" s="471"/>
      <c r="K36" s="471"/>
      <c r="L36" s="471"/>
      <c r="M36" s="471"/>
      <c r="N36" s="471"/>
      <c r="O36" s="471"/>
      <c r="P36" s="471"/>
      <c r="Q36" s="471"/>
      <c r="R36" s="197"/>
      <c r="S36" s="197"/>
      <c r="T36" s="197"/>
      <c r="U36" s="439"/>
      <c r="W36" s="440">
        <f>VLOOKUP($A36,$A$98:$K$123,COLUMN($K$90),FALSE)</f>
        <v>0</v>
      </c>
      <c r="X36" s="440">
        <f>VLOOKUP($A36,$A$98:$K$123,COLUMN($G$90),FALSE)</f>
        <v>0</v>
      </c>
      <c r="Y36" s="440">
        <v>0</v>
      </c>
      <c r="Z36" s="448"/>
      <c r="AA36" s="440">
        <f t="shared" ref="AA36:AA56" si="2">Y36-C36</f>
        <v>-1000</v>
      </c>
      <c r="AC36" s="453"/>
      <c r="AD36" s="453">
        <v>30</v>
      </c>
      <c r="AE36" s="453"/>
      <c r="AF36" s="453">
        <f t="shared" ref="AF36:AF56" si="3">AE36-C36</f>
        <v>-1000</v>
      </c>
      <c r="AG36" s="453">
        <f t="shared" ref="AG36:AG56" si="4">AE36-AD36</f>
        <v>-30</v>
      </c>
      <c r="AI36" s="472">
        <f>Y36-W36-AE36-X36</f>
        <v>0</v>
      </c>
      <c r="AJ36" s="473">
        <f>AI36+VLOOKUP($A36,$A$98:$K$123,COLUMN($E$90),FALSE)</f>
        <v>0</v>
      </c>
      <c r="AK36" s="473">
        <f>AJ36+VLOOKUP($A36,$A$98:$K$123,COLUMN($G$90),FALSE)</f>
        <v>0</v>
      </c>
      <c r="AL36" s="474">
        <f>AK36+VLOOKUP($A36,$A$98:$K$123,COLUMN($I$90),FALSE)</f>
        <v>0</v>
      </c>
      <c r="AM36" s="9"/>
      <c r="AN36" s="9"/>
      <c r="AO36" s="9"/>
      <c r="AP36" s="9"/>
      <c r="AQ36" s="9"/>
      <c r="AR36" s="9"/>
      <c r="AS36" s="9"/>
      <c r="AT36" s="9"/>
      <c r="AU36" s="9"/>
      <c r="AV36" s="9"/>
      <c r="AW36" s="9"/>
      <c r="AX36" s="9"/>
    </row>
    <row r="37" spans="1:50">
      <c r="A37" s="103" t="s">
        <v>56</v>
      </c>
      <c r="B37" s="438"/>
      <c r="C37" s="95">
        <v>3500</v>
      </c>
      <c r="D37" s="471"/>
      <c r="E37" s="471"/>
      <c r="F37" s="471"/>
      <c r="G37" s="471"/>
      <c r="H37" s="471"/>
      <c r="I37" s="471"/>
      <c r="J37" s="471">
        <f>AllIndustriesWageIncr19</f>
        <v>3.2000000000000001E-2</v>
      </c>
      <c r="K37" s="471">
        <f t="shared" ref="K37:K53" si="5">LabourProportion19</f>
        <v>0.63347109938329471</v>
      </c>
      <c r="L37" s="471"/>
      <c r="M37" s="471">
        <f t="shared" ref="M37:M53" si="6">NonLabourProportion19</f>
        <v>0.36652890061670529</v>
      </c>
      <c r="N37" s="471">
        <f t="shared" ref="N37:N53" si="7">NonLabourGeneralCostIncreases19</f>
        <v>0.02</v>
      </c>
      <c r="O37" s="471"/>
      <c r="P37" s="471">
        <f t="shared" ref="P37:P53" si="8">NonDemographicGrowth19</f>
        <v>0</v>
      </c>
      <c r="Q37" s="471">
        <f t="shared" ref="Q37:Q53" si="9">ProductivityGrowth19</f>
        <v>0</v>
      </c>
      <c r="R37" s="197"/>
      <c r="S37" s="197"/>
      <c r="T37" s="197"/>
      <c r="U37" s="439">
        <f t="shared" ref="U37:U53" si="10">((1+D37)*E37+(1+F37)*G37+(1+H37)*I37+(1+J37)*K37+(1+L37+N37)*M37)*(1+O37)*(1+P37)*(1-Q37)+R37*(1+S37)-1</f>
        <v>2.7601653192599551E-2</v>
      </c>
      <c r="V37" s="197"/>
      <c r="W37" s="440">
        <f t="shared" ref="W37:W54" si="11">VLOOKUP($A37,$A$98:$K$123,COLUMN($K$90),FALSE)</f>
        <v>0</v>
      </c>
      <c r="X37" s="440">
        <f t="shared" ref="X37:X54" si="12">VLOOKUP($A37,$A$98:$K$123,COLUMN($G$90),FALSE)</f>
        <v>-3596.6057861740983</v>
      </c>
      <c r="Y37" s="440">
        <f>C37*(1+U37)+W37+X37</f>
        <v>0</v>
      </c>
      <c r="Z37" s="197"/>
      <c r="AA37" s="440">
        <f t="shared" si="2"/>
        <v>-3500</v>
      </c>
      <c r="AB37" s="197"/>
      <c r="AC37" s="453">
        <v>8558</v>
      </c>
      <c r="AD37" s="475">
        <v>4558</v>
      </c>
      <c r="AE37" s="453"/>
      <c r="AF37" s="453">
        <f>AE37-C37</f>
        <v>-3500</v>
      </c>
      <c r="AG37" s="453">
        <f>AE37-AD37</f>
        <v>-4558</v>
      </c>
      <c r="AI37" s="476">
        <f>Y37-W37-AE37-X37</f>
        <v>3596.6057861740983</v>
      </c>
      <c r="AJ37" s="477">
        <f t="shared" ref="AJ37:AJ55" si="13">AI37+VLOOKUP($A37,$A$98:$K$123,COLUMN($E$90),FALSE)</f>
        <v>3596.6057861740983</v>
      </c>
      <c r="AK37" s="477">
        <f t="shared" ref="AK37:AK55" si="14">AJ37+VLOOKUP($A37,$A$98:$K$123,COLUMN($G$90),FALSE)</f>
        <v>0</v>
      </c>
      <c r="AL37" s="478">
        <f t="shared" ref="AL37:AL55" si="15">AK37+VLOOKUP($A37,$A$98:$K$123,COLUMN($I$90),FALSE)</f>
        <v>0</v>
      </c>
      <c r="AM37" s="451"/>
      <c r="AN37" s="9"/>
      <c r="AO37" s="9"/>
      <c r="AP37" s="9"/>
      <c r="AQ37" s="9"/>
      <c r="AR37" s="9"/>
      <c r="AS37" s="9"/>
      <c r="AT37" s="9"/>
      <c r="AU37" s="9"/>
      <c r="AV37" s="9"/>
      <c r="AW37" s="9"/>
      <c r="AX37" s="9"/>
    </row>
    <row r="38" spans="1:50">
      <c r="A38" s="103" t="s">
        <v>57</v>
      </c>
      <c r="B38" s="438"/>
      <c r="C38" s="95"/>
      <c r="D38" s="471"/>
      <c r="E38" s="471"/>
      <c r="F38" s="471"/>
      <c r="G38" s="471"/>
      <c r="H38" s="471"/>
      <c r="I38" s="471"/>
      <c r="J38" s="471"/>
      <c r="K38" s="471"/>
      <c r="L38" s="471"/>
      <c r="M38" s="471"/>
      <c r="N38" s="471"/>
      <c r="O38" s="471"/>
      <c r="P38" s="471"/>
      <c r="Q38" s="471"/>
      <c r="R38" s="197"/>
      <c r="S38" s="197"/>
      <c r="T38" s="197"/>
      <c r="U38" s="439"/>
      <c r="V38" s="197"/>
      <c r="W38" s="440">
        <f t="shared" si="11"/>
        <v>0</v>
      </c>
      <c r="X38" s="440">
        <f t="shared" si="12"/>
        <v>0</v>
      </c>
      <c r="Y38" s="440"/>
      <c r="Z38" s="197"/>
      <c r="AA38" s="440"/>
      <c r="AB38" s="197"/>
      <c r="AC38" s="453"/>
      <c r="AD38" s="475"/>
      <c r="AE38" s="479">
        <v>23681</v>
      </c>
      <c r="AF38" s="453">
        <f>AE38-C38</f>
        <v>23681</v>
      </c>
      <c r="AG38" s="453">
        <f>AE38-AD38</f>
        <v>23681</v>
      </c>
      <c r="AI38" s="476">
        <f>Y38-W38-AE38-X38</f>
        <v>-23681</v>
      </c>
      <c r="AJ38" s="477">
        <f t="shared" si="13"/>
        <v>-23681</v>
      </c>
      <c r="AK38" s="477">
        <f t="shared" si="14"/>
        <v>-23681</v>
      </c>
      <c r="AL38" s="478">
        <f t="shared" si="15"/>
        <v>-23681</v>
      </c>
      <c r="AM38" s="451"/>
      <c r="AN38" s="9"/>
      <c r="AO38" s="9"/>
      <c r="AP38" s="9"/>
      <c r="AQ38" s="9"/>
      <c r="AR38" s="9"/>
      <c r="AS38" s="9"/>
      <c r="AT38" s="9"/>
      <c r="AU38" s="9"/>
      <c r="AV38" s="9"/>
      <c r="AW38" s="9"/>
      <c r="AX38" s="9"/>
    </row>
    <row r="39" spans="1:50">
      <c r="A39" s="103" t="s">
        <v>58</v>
      </c>
      <c r="B39" s="438"/>
      <c r="C39" s="95">
        <v>186745</v>
      </c>
      <c r="D39" s="471"/>
      <c r="E39" s="471"/>
      <c r="F39" s="471"/>
      <c r="G39" s="471"/>
      <c r="H39" s="471"/>
      <c r="I39" s="471"/>
      <c r="J39" s="471">
        <f>AllIndustriesWageIncr19</f>
        <v>3.2000000000000001E-2</v>
      </c>
      <c r="K39" s="471">
        <f t="shared" si="5"/>
        <v>0.63347109938329471</v>
      </c>
      <c r="L39" s="471"/>
      <c r="M39" s="471">
        <f t="shared" si="6"/>
        <v>0.36652890061670529</v>
      </c>
      <c r="N39" s="471">
        <f t="shared" si="7"/>
        <v>0.02</v>
      </c>
      <c r="O39" s="471"/>
      <c r="P39" s="471">
        <f t="shared" si="8"/>
        <v>0</v>
      </c>
      <c r="Q39" s="471">
        <f t="shared" si="9"/>
        <v>0</v>
      </c>
      <c r="R39" s="197"/>
      <c r="S39" s="197"/>
      <c r="T39" s="197"/>
      <c r="U39" s="439">
        <f t="shared" si="10"/>
        <v>2.7601653192599551E-2</v>
      </c>
      <c r="V39" s="197"/>
      <c r="W39" s="440">
        <f t="shared" si="11"/>
        <v>13888</v>
      </c>
      <c r="X39" s="440">
        <f t="shared" si="12"/>
        <v>0</v>
      </c>
      <c r="Y39" s="440">
        <f>C39*(1+U39)+W39+X39</f>
        <v>205787.470725452</v>
      </c>
      <c r="Z39" s="197"/>
      <c r="AA39" s="440">
        <f t="shared" si="2"/>
        <v>19042.470725452004</v>
      </c>
      <c r="AB39" s="197"/>
      <c r="AC39" s="475">
        <v>187120</v>
      </c>
      <c r="AD39" s="475">
        <v>187120</v>
      </c>
      <c r="AE39" s="479">
        <v>211641</v>
      </c>
      <c r="AF39" s="453">
        <f t="shared" si="3"/>
        <v>24896</v>
      </c>
      <c r="AG39" s="453">
        <f t="shared" si="4"/>
        <v>24521</v>
      </c>
      <c r="AH39" s="197"/>
      <c r="AI39" s="476">
        <f t="shared" ref="AI39:AI55" si="16">Y39-W39-AE39-X39</f>
        <v>-19741.529274547996</v>
      </c>
      <c r="AJ39" s="477">
        <f t="shared" si="13"/>
        <v>-5853.5292745479965</v>
      </c>
      <c r="AK39" s="477">
        <f t="shared" si="14"/>
        <v>-5853.5292745479965</v>
      </c>
      <c r="AL39" s="478">
        <f t="shared" si="15"/>
        <v>-5853.5292745479965</v>
      </c>
      <c r="AM39" s="451"/>
      <c r="AN39" s="9"/>
      <c r="AO39" s="9"/>
      <c r="AP39" s="9"/>
      <c r="AQ39" s="9"/>
      <c r="AR39" s="9"/>
      <c r="AS39" s="9"/>
      <c r="AT39" s="9"/>
      <c r="AU39" s="9"/>
      <c r="AV39" s="9"/>
      <c r="AW39" s="9"/>
      <c r="AX39" s="9"/>
    </row>
    <row r="40" spans="1:50">
      <c r="A40" s="103" t="s">
        <v>60</v>
      </c>
      <c r="B40" s="438"/>
      <c r="C40" s="95">
        <v>29546</v>
      </c>
      <c r="D40" s="471"/>
      <c r="E40" s="471"/>
      <c r="F40" s="471"/>
      <c r="G40" s="471"/>
      <c r="H40" s="471"/>
      <c r="I40" s="471"/>
      <c r="J40" s="471">
        <f>AllIndustriesWageIncr19</f>
        <v>3.2000000000000001E-2</v>
      </c>
      <c r="K40" s="471">
        <f t="shared" si="5"/>
        <v>0.63347109938329471</v>
      </c>
      <c r="L40" s="471"/>
      <c r="M40" s="471">
        <f t="shared" si="6"/>
        <v>0.36652890061670529</v>
      </c>
      <c r="N40" s="471">
        <f t="shared" si="7"/>
        <v>0.02</v>
      </c>
      <c r="O40" s="471"/>
      <c r="P40" s="471">
        <f t="shared" si="8"/>
        <v>0</v>
      </c>
      <c r="Q40" s="471">
        <f t="shared" si="9"/>
        <v>0</v>
      </c>
      <c r="R40" s="197"/>
      <c r="S40" s="197"/>
      <c r="T40" s="197"/>
      <c r="U40" s="439">
        <f t="shared" si="10"/>
        <v>2.7601653192599551E-2</v>
      </c>
      <c r="V40" s="197"/>
      <c r="W40" s="440">
        <f t="shared" si="11"/>
        <v>2000</v>
      </c>
      <c r="X40" s="440">
        <f t="shared" si="12"/>
        <v>0</v>
      </c>
      <c r="Y40" s="440">
        <f t="shared" ref="Y40:Y53" si="17">C40*(1+U40)+W40+X40</f>
        <v>32361.518445228547</v>
      </c>
      <c r="Z40" s="197"/>
      <c r="AA40" s="440">
        <f t="shared" si="2"/>
        <v>2815.5184452285466</v>
      </c>
      <c r="AB40" s="197"/>
      <c r="AC40" s="475">
        <v>29546</v>
      </c>
      <c r="AD40" s="475">
        <v>29546</v>
      </c>
      <c r="AE40" s="479">
        <v>31546</v>
      </c>
      <c r="AF40" s="453">
        <f t="shared" si="3"/>
        <v>2000</v>
      </c>
      <c r="AG40" s="453">
        <f t="shared" si="4"/>
        <v>2000</v>
      </c>
      <c r="AH40" s="197"/>
      <c r="AI40" s="476">
        <f t="shared" si="16"/>
        <v>-1184.4815547714534</v>
      </c>
      <c r="AJ40" s="477">
        <f t="shared" si="13"/>
        <v>815.51844522854663</v>
      </c>
      <c r="AK40" s="477">
        <f t="shared" si="14"/>
        <v>815.51844522854663</v>
      </c>
      <c r="AL40" s="478">
        <f t="shared" si="15"/>
        <v>815.51844522854663</v>
      </c>
      <c r="AM40" s="451"/>
      <c r="AN40" s="9"/>
      <c r="AO40" s="9"/>
      <c r="AP40" s="9"/>
      <c r="AQ40" s="9"/>
      <c r="AR40" s="9"/>
      <c r="AS40" s="9"/>
      <c r="AT40" s="9"/>
      <c r="AU40" s="9"/>
      <c r="AV40" s="9"/>
      <c r="AW40" s="9"/>
      <c r="AX40" s="9"/>
    </row>
    <row r="41" spans="1:50">
      <c r="A41" s="103" t="s">
        <v>62</v>
      </c>
      <c r="B41" s="438"/>
      <c r="C41" s="95">
        <v>89254</v>
      </c>
      <c r="D41" s="471"/>
      <c r="E41" s="471"/>
      <c r="F41" s="471"/>
      <c r="G41" s="471"/>
      <c r="H41" s="471"/>
      <c r="I41" s="471"/>
      <c r="J41" s="471">
        <f>DHBProviderWageIncrease19</f>
        <v>7.9202574354182861E-2</v>
      </c>
      <c r="K41" s="471">
        <f t="shared" si="5"/>
        <v>0.63347109938329471</v>
      </c>
      <c r="L41" s="471"/>
      <c r="M41" s="471">
        <f t="shared" si="6"/>
        <v>0.36652890061670529</v>
      </c>
      <c r="N41" s="471">
        <f t="shared" si="7"/>
        <v>0.02</v>
      </c>
      <c r="O41" s="471">
        <f>ChildPopGrowth19</f>
        <v>3.9674714665447475E-3</v>
      </c>
      <c r="P41" s="471">
        <f t="shared" si="8"/>
        <v>0</v>
      </c>
      <c r="Q41" s="471">
        <f t="shared" si="9"/>
        <v>0</v>
      </c>
      <c r="R41" s="197"/>
      <c r="S41" s="197"/>
      <c r="T41" s="197"/>
      <c r="U41" s="439">
        <f t="shared" si="10"/>
        <v>6.1698733316301935E-2</v>
      </c>
      <c r="V41" s="197"/>
      <c r="W41" s="440">
        <f t="shared" si="11"/>
        <v>4976</v>
      </c>
      <c r="X41" s="440">
        <f t="shared" si="12"/>
        <v>0</v>
      </c>
      <c r="Y41" s="440">
        <f t="shared" si="17"/>
        <v>99736.858743413206</v>
      </c>
      <c r="Z41" s="197"/>
      <c r="AA41" s="440">
        <f t="shared" si="2"/>
        <v>10482.858743413206</v>
      </c>
      <c r="AB41" s="197"/>
      <c r="AC41" s="475">
        <v>93254</v>
      </c>
      <c r="AD41" s="475">
        <v>93254</v>
      </c>
      <c r="AE41" s="479">
        <v>112980</v>
      </c>
      <c r="AF41" s="453">
        <f t="shared" si="3"/>
        <v>23726</v>
      </c>
      <c r="AG41" s="453">
        <f t="shared" si="4"/>
        <v>19726</v>
      </c>
      <c r="AH41" s="197"/>
      <c r="AI41" s="476">
        <f t="shared" si="16"/>
        <v>-18219.141256586794</v>
      </c>
      <c r="AJ41" s="477">
        <f t="shared" si="13"/>
        <v>-13243.141256586794</v>
      </c>
      <c r="AK41" s="477">
        <f t="shared" si="14"/>
        <v>-13243.141256586794</v>
      </c>
      <c r="AL41" s="478">
        <f t="shared" si="15"/>
        <v>-13243.141256586794</v>
      </c>
      <c r="AM41" s="451"/>
      <c r="AN41" s="9"/>
      <c r="AO41" s="9"/>
      <c r="AP41" s="9"/>
      <c r="AQ41" s="9"/>
      <c r="AR41" s="9"/>
      <c r="AS41" s="9"/>
      <c r="AT41" s="9"/>
      <c r="AU41" s="9"/>
      <c r="AV41" s="9"/>
      <c r="AW41" s="9"/>
      <c r="AX41" s="9"/>
    </row>
    <row r="42" spans="1:50">
      <c r="A42" s="103" t="s">
        <v>63</v>
      </c>
      <c r="B42" s="438"/>
      <c r="C42" s="95">
        <v>28720</v>
      </c>
      <c r="D42" s="471"/>
      <c r="E42" s="471"/>
      <c r="F42" s="471"/>
      <c r="G42" s="471"/>
      <c r="H42" s="471"/>
      <c r="I42" s="471"/>
      <c r="J42" s="471">
        <f>AllIndustriesWageIncr19</f>
        <v>3.2000000000000001E-2</v>
      </c>
      <c r="K42" s="471">
        <f t="shared" si="5"/>
        <v>0.63347109938329471</v>
      </c>
      <c r="L42" s="471"/>
      <c r="M42" s="471">
        <f t="shared" si="6"/>
        <v>0.36652890061670529</v>
      </c>
      <c r="N42" s="471">
        <f t="shared" si="7"/>
        <v>0.02</v>
      </c>
      <c r="O42" s="471">
        <f>PopulationGrowth19</f>
        <v>2.3278682332490863E-2</v>
      </c>
      <c r="P42" s="471">
        <f t="shared" si="8"/>
        <v>0</v>
      </c>
      <c r="Q42" s="471">
        <f t="shared" si="9"/>
        <v>0</v>
      </c>
      <c r="R42" s="197"/>
      <c r="S42" s="197"/>
      <c r="T42" s="197"/>
      <c r="U42" s="439">
        <f t="shared" si="10"/>
        <v>5.1522865641612459E-2</v>
      </c>
      <c r="V42" s="197"/>
      <c r="W42" s="440">
        <f t="shared" si="11"/>
        <v>0</v>
      </c>
      <c r="X42" s="440">
        <f t="shared" si="12"/>
        <v>0</v>
      </c>
      <c r="Y42" s="440">
        <f t="shared" si="17"/>
        <v>30199.73670122711</v>
      </c>
      <c r="Z42" s="197"/>
      <c r="AA42" s="440">
        <f t="shared" si="2"/>
        <v>1479.7367012271097</v>
      </c>
      <c r="AB42" s="197"/>
      <c r="AC42" s="475">
        <v>23488</v>
      </c>
      <c r="AD42" s="475">
        <v>23488</v>
      </c>
      <c r="AE42" s="479">
        <v>23488</v>
      </c>
      <c r="AF42" s="453">
        <f t="shared" si="3"/>
        <v>-5232</v>
      </c>
      <c r="AG42" s="453">
        <f t="shared" si="4"/>
        <v>0</v>
      </c>
      <c r="AH42" s="197"/>
      <c r="AI42" s="476">
        <f t="shared" si="16"/>
        <v>6711.7367012271097</v>
      </c>
      <c r="AJ42" s="477">
        <f t="shared" si="13"/>
        <v>6711.7367012271097</v>
      </c>
      <c r="AK42" s="477">
        <f t="shared" si="14"/>
        <v>6711.7367012271097</v>
      </c>
      <c r="AL42" s="478">
        <f t="shared" si="15"/>
        <v>6711.7367012271097</v>
      </c>
      <c r="AM42" s="451"/>
      <c r="AN42" s="9"/>
      <c r="AO42" s="9"/>
      <c r="AP42" s="9"/>
      <c r="AQ42" s="9"/>
      <c r="AR42" s="9"/>
      <c r="AS42" s="9"/>
      <c r="AT42" s="9"/>
      <c r="AU42" s="9"/>
      <c r="AV42" s="9"/>
      <c r="AW42" s="9"/>
      <c r="AX42" s="9"/>
    </row>
    <row r="43" spans="1:50">
      <c r="A43" s="103" t="s">
        <v>64</v>
      </c>
      <c r="B43" s="438"/>
      <c r="C43" s="95">
        <v>1268594</v>
      </c>
      <c r="D43" s="471"/>
      <c r="E43" s="471"/>
      <c r="F43" s="471"/>
      <c r="G43" s="471"/>
      <c r="H43" s="471"/>
      <c r="I43" s="471"/>
      <c r="J43" s="471">
        <f>AllIndustriesWageIncr19</f>
        <v>3.2000000000000001E-2</v>
      </c>
      <c r="K43" s="471">
        <f t="shared" si="5"/>
        <v>0.63347109938329471</v>
      </c>
      <c r="L43" s="471"/>
      <c r="M43" s="471">
        <f t="shared" si="6"/>
        <v>0.36652890061670529</v>
      </c>
      <c r="N43" s="471">
        <f t="shared" si="7"/>
        <v>0.02</v>
      </c>
      <c r="O43" s="471">
        <f>PopulationGrowth19</f>
        <v>2.3278682332490863E-2</v>
      </c>
      <c r="P43" s="471">
        <f t="shared" si="8"/>
        <v>0</v>
      </c>
      <c r="Q43" s="471">
        <f t="shared" si="9"/>
        <v>0</v>
      </c>
      <c r="R43" s="197"/>
      <c r="S43" s="197"/>
      <c r="T43" s="197"/>
      <c r="U43" s="439">
        <f>((1+D43)*E43+(1+F43)*G43+(1+H43)*I43+(1+J43)*K43+(1+L43+N43)*M43)*(1+O43)*(1+P43)*(1-Q43)+R43*(1+S43)-1</f>
        <v>5.1522865641612459E-2</v>
      </c>
      <c r="V43" s="197"/>
      <c r="W43" s="440">
        <f t="shared" si="11"/>
        <v>220</v>
      </c>
      <c r="X43" s="440">
        <f t="shared" si="12"/>
        <v>0</v>
      </c>
      <c r="Y43" s="440">
        <f t="shared" si="17"/>
        <v>1334175.5982157558</v>
      </c>
      <c r="Z43" s="440"/>
      <c r="AA43" s="440">
        <f t="shared" si="2"/>
        <v>65581.598215755774</v>
      </c>
      <c r="AB43" s="197"/>
      <c r="AC43" s="453">
        <v>1351707</v>
      </c>
      <c r="AD43" s="475">
        <v>1351707</v>
      </c>
      <c r="AE43" s="479">
        <v>1344646</v>
      </c>
      <c r="AF43" s="453">
        <f t="shared" si="3"/>
        <v>76052</v>
      </c>
      <c r="AG43" s="453">
        <f t="shared" si="4"/>
        <v>-7061</v>
      </c>
      <c r="AH43" s="197"/>
      <c r="AI43" s="476">
        <f t="shared" si="16"/>
        <v>-10690.401784244226</v>
      </c>
      <c r="AJ43" s="477">
        <f t="shared" si="13"/>
        <v>-10470.401784244226</v>
      </c>
      <c r="AK43" s="477">
        <f t="shared" si="14"/>
        <v>-10470.401784244226</v>
      </c>
      <c r="AL43" s="478">
        <f t="shared" si="15"/>
        <v>-10470.401784244226</v>
      </c>
      <c r="AM43" s="451"/>
      <c r="AN43" s="9"/>
      <c r="AO43" s="9"/>
      <c r="AP43" s="9"/>
      <c r="AQ43" s="9"/>
      <c r="AR43" s="9"/>
      <c r="AS43" s="9"/>
      <c r="AT43" s="9"/>
      <c r="AU43" s="9"/>
      <c r="AV43" s="9"/>
      <c r="AW43" s="9"/>
      <c r="AX43" s="9"/>
    </row>
    <row r="44" spans="1:50">
      <c r="A44" s="103" t="s">
        <v>819</v>
      </c>
      <c r="B44" s="438"/>
      <c r="C44" s="95">
        <v>363517</v>
      </c>
      <c r="D44" s="471">
        <f>MedicalSalaryIncreases19</f>
        <v>4.6420985685981915E-2</v>
      </c>
      <c r="E44" s="471">
        <f>MedicalProportion19</f>
        <v>0.15457144766055803</v>
      </c>
      <c r="F44" s="471">
        <f>NursingSalaryIncrease19</f>
        <v>0.11026663022927639</v>
      </c>
      <c r="G44" s="471">
        <f>NursingProportion19</f>
        <v>0.18969246389955757</v>
      </c>
      <c r="H44" s="471">
        <f>OtherDHBWageIncreases19</f>
        <v>7.3589879181061787E-2</v>
      </c>
      <c r="I44" s="471">
        <f>OtherWageProportion19</f>
        <v>0.14708079721781922</v>
      </c>
      <c r="J44" s="471">
        <f>DHBFundedWageIncreases19</f>
        <v>3.2000000000000001E-2</v>
      </c>
      <c r="K44" s="471">
        <f>DHBFundedProportion19</f>
        <v>0.14212639060535989</v>
      </c>
      <c r="L44" s="471">
        <f>NonLabourHealthServicesCostIncrease19</f>
        <v>0.02</v>
      </c>
      <c r="M44" s="471">
        <f t="shared" si="6"/>
        <v>0.36652890061670529</v>
      </c>
      <c r="N44" s="471"/>
      <c r="O44" s="471">
        <f>PopulationGrowth19</f>
        <v>2.3278682332490863E-2</v>
      </c>
      <c r="P44" s="471">
        <f t="shared" si="8"/>
        <v>0</v>
      </c>
      <c r="Q44" s="471">
        <f t="shared" si="9"/>
        <v>0</v>
      </c>
      <c r="R44" s="197"/>
      <c r="S44" s="197"/>
      <c r="T44" s="197"/>
      <c r="U44" s="439">
        <f>((1+D44)*E44+(1+F44)*G44+(1+H44)*I44+(1+J44)*K44+(1+L44+N44)*M44)*(1+O44)*(1+P44)*(1-Q44)+R44*(1+S44)-1</f>
        <v>7.525549710520707E-2</v>
      </c>
      <c r="V44" s="197"/>
      <c r="W44" s="440">
        <f t="shared" si="11"/>
        <v>13223</v>
      </c>
      <c r="X44" s="440">
        <f t="shared" si="12"/>
        <v>0</v>
      </c>
      <c r="Y44" s="440">
        <f t="shared" si="17"/>
        <v>404096.65254119359</v>
      </c>
      <c r="Z44" s="197"/>
      <c r="AA44" s="440">
        <f t="shared" si="2"/>
        <v>40579.652541193587</v>
      </c>
      <c r="AB44" s="197"/>
      <c r="AC44" s="475">
        <v>362357</v>
      </c>
      <c r="AD44" s="475">
        <v>362357</v>
      </c>
      <c r="AE44" s="479">
        <v>396085</v>
      </c>
      <c r="AF44" s="453">
        <f t="shared" si="3"/>
        <v>32568</v>
      </c>
      <c r="AG44" s="453">
        <f t="shared" si="4"/>
        <v>33728</v>
      </c>
      <c r="AH44" s="197"/>
      <c r="AI44" s="476">
        <f t="shared" si="16"/>
        <v>-5211.3474588064128</v>
      </c>
      <c r="AJ44" s="477">
        <f t="shared" si="13"/>
        <v>8011.6525411935872</v>
      </c>
      <c r="AK44" s="477">
        <f t="shared" si="14"/>
        <v>8011.6525411935872</v>
      </c>
      <c r="AL44" s="478">
        <f t="shared" si="15"/>
        <v>8011.6525411935872</v>
      </c>
      <c r="AM44" s="451"/>
      <c r="AN44" s="9"/>
      <c r="AO44" s="9"/>
      <c r="AP44" s="9"/>
      <c r="AQ44" s="9"/>
      <c r="AR44" s="9"/>
      <c r="AS44" s="9"/>
      <c r="AT44" s="9"/>
      <c r="AU44" s="9"/>
      <c r="AV44" s="9"/>
      <c r="AW44" s="9"/>
      <c r="AX44" s="9"/>
    </row>
    <row r="45" spans="1:50">
      <c r="A45" s="103" t="s">
        <v>66</v>
      </c>
      <c r="B45" s="438"/>
      <c r="C45" s="95">
        <v>129597</v>
      </c>
      <c r="D45" s="471"/>
      <c r="E45" s="471"/>
      <c r="F45" s="471"/>
      <c r="G45" s="471"/>
      <c r="H45" s="471"/>
      <c r="I45" s="471"/>
      <c r="J45" s="471">
        <f>AllIndustriesWageIncr19</f>
        <v>3.2000000000000001E-2</v>
      </c>
      <c r="K45" s="471">
        <f t="shared" si="5"/>
        <v>0.63347109938329471</v>
      </c>
      <c r="L45" s="471"/>
      <c r="M45" s="471">
        <f t="shared" si="6"/>
        <v>0.36652890061670529</v>
      </c>
      <c r="N45" s="471">
        <f t="shared" si="7"/>
        <v>0.02</v>
      </c>
      <c r="O45" s="471">
        <f>PopulationGrowth19</f>
        <v>2.3278682332490863E-2</v>
      </c>
      <c r="P45" s="471">
        <f t="shared" si="8"/>
        <v>0</v>
      </c>
      <c r="Q45" s="471">
        <f t="shared" si="9"/>
        <v>0</v>
      </c>
      <c r="R45" s="197"/>
      <c r="S45" s="197"/>
      <c r="T45" s="197"/>
      <c r="U45" s="439">
        <f t="shared" si="10"/>
        <v>5.1522865641612459E-2</v>
      </c>
      <c r="V45" s="197"/>
      <c r="W45" s="440">
        <f t="shared" si="11"/>
        <v>0</v>
      </c>
      <c r="X45" s="440">
        <f t="shared" si="12"/>
        <v>0</v>
      </c>
      <c r="Y45" s="440">
        <f t="shared" si="17"/>
        <v>136274.20881855604</v>
      </c>
      <c r="Z45" s="197"/>
      <c r="AA45" s="440">
        <f t="shared" si="2"/>
        <v>6677.2088185560424</v>
      </c>
      <c r="AB45" s="197"/>
      <c r="AC45" s="453">
        <v>124313</v>
      </c>
      <c r="AD45" s="475">
        <v>120313</v>
      </c>
      <c r="AE45" s="479">
        <v>150319</v>
      </c>
      <c r="AF45" s="453">
        <f t="shared" si="3"/>
        <v>20722</v>
      </c>
      <c r="AG45" s="453">
        <f t="shared" si="4"/>
        <v>30006</v>
      </c>
      <c r="AH45" s="197"/>
      <c r="AI45" s="476">
        <f t="shared" si="16"/>
        <v>-14044.791181443958</v>
      </c>
      <c r="AJ45" s="477">
        <f t="shared" si="13"/>
        <v>-14044.791181443958</v>
      </c>
      <c r="AK45" s="477">
        <f t="shared" si="14"/>
        <v>-14044.791181443958</v>
      </c>
      <c r="AL45" s="478">
        <f t="shared" si="15"/>
        <v>-14044.791181443958</v>
      </c>
      <c r="AM45" s="451"/>
      <c r="AN45" s="9"/>
      <c r="AO45" s="9"/>
      <c r="AP45" s="9"/>
      <c r="AQ45" s="9"/>
      <c r="AR45" s="9"/>
      <c r="AS45" s="9"/>
      <c r="AT45" s="9"/>
      <c r="AU45" s="9"/>
      <c r="AV45" s="9"/>
      <c r="AW45" s="9"/>
      <c r="AX45" s="9"/>
    </row>
    <row r="46" spans="1:50">
      <c r="A46" s="103" t="s">
        <v>67</v>
      </c>
      <c r="B46" s="438"/>
      <c r="C46" s="95">
        <v>8042</v>
      </c>
      <c r="D46" s="471"/>
      <c r="E46" s="471"/>
      <c r="F46" s="471"/>
      <c r="G46" s="471"/>
      <c r="H46" s="471"/>
      <c r="I46" s="471"/>
      <c r="J46" s="471">
        <f>AllIndustriesWageIncr19</f>
        <v>3.2000000000000001E-2</v>
      </c>
      <c r="K46" s="471">
        <f t="shared" si="5"/>
        <v>0.63347109938329471</v>
      </c>
      <c r="L46" s="471"/>
      <c r="M46" s="471">
        <f t="shared" si="6"/>
        <v>0.36652890061670529</v>
      </c>
      <c r="N46" s="471">
        <f t="shared" si="7"/>
        <v>0.02</v>
      </c>
      <c r="O46" s="471"/>
      <c r="P46" s="471">
        <f t="shared" si="8"/>
        <v>0</v>
      </c>
      <c r="Q46" s="471">
        <f t="shared" si="9"/>
        <v>0</v>
      </c>
      <c r="R46" s="197"/>
      <c r="S46" s="197"/>
      <c r="T46" s="197"/>
      <c r="U46" s="439">
        <f t="shared" si="10"/>
        <v>2.7601653192599551E-2</v>
      </c>
      <c r="V46" s="197"/>
      <c r="W46" s="440">
        <f t="shared" si="11"/>
        <v>0</v>
      </c>
      <c r="X46" s="440">
        <f t="shared" si="12"/>
        <v>0</v>
      </c>
      <c r="Y46" s="440">
        <f t="shared" si="17"/>
        <v>8263.9724949748852</v>
      </c>
      <c r="Z46" s="197"/>
      <c r="AA46" s="440">
        <f t="shared" si="2"/>
        <v>221.97249497488519</v>
      </c>
      <c r="AB46" s="197"/>
      <c r="AC46" s="453">
        <v>8042</v>
      </c>
      <c r="AD46" s="475">
        <v>5242</v>
      </c>
      <c r="AE46" s="479">
        <v>8382</v>
      </c>
      <c r="AF46" s="453">
        <f t="shared" si="3"/>
        <v>340</v>
      </c>
      <c r="AG46" s="453">
        <f t="shared" si="4"/>
        <v>3140</v>
      </c>
      <c r="AH46" s="197"/>
      <c r="AI46" s="476">
        <f t="shared" si="16"/>
        <v>-118.02750502511481</v>
      </c>
      <c r="AJ46" s="477">
        <f t="shared" si="13"/>
        <v>-118.02750502511481</v>
      </c>
      <c r="AK46" s="477">
        <f t="shared" si="14"/>
        <v>-118.02750502511481</v>
      </c>
      <c r="AL46" s="478">
        <f t="shared" si="15"/>
        <v>-118.02750502511481</v>
      </c>
      <c r="AM46" s="451"/>
      <c r="AN46" s="9"/>
      <c r="AO46" s="9"/>
      <c r="AP46" s="9"/>
      <c r="AQ46" s="9"/>
      <c r="AR46" s="9"/>
      <c r="AS46" s="9"/>
      <c r="AT46" s="9"/>
      <c r="AU46" s="9"/>
      <c r="AV46" s="9"/>
      <c r="AW46" s="9"/>
      <c r="AX46" s="9"/>
    </row>
    <row r="47" spans="1:50">
      <c r="A47" s="103" t="s">
        <v>68</v>
      </c>
      <c r="B47" s="438"/>
      <c r="C47" s="95">
        <v>6828</v>
      </c>
      <c r="D47" s="471"/>
      <c r="E47" s="471"/>
      <c r="F47" s="471"/>
      <c r="G47" s="471"/>
      <c r="H47" s="471"/>
      <c r="I47" s="471"/>
      <c r="J47" s="471">
        <f>AllIndustriesWageIncr19</f>
        <v>3.2000000000000001E-2</v>
      </c>
      <c r="K47" s="471">
        <f t="shared" si="5"/>
        <v>0.63347109938329471</v>
      </c>
      <c r="L47" s="471"/>
      <c r="M47" s="471">
        <f t="shared" si="6"/>
        <v>0.36652890061670529</v>
      </c>
      <c r="N47" s="471">
        <f t="shared" si="7"/>
        <v>0.02</v>
      </c>
      <c r="O47" s="471">
        <f>MaoriPopulationGrowth19</f>
        <v>2.5909571024273603E-2</v>
      </c>
      <c r="P47" s="471">
        <f t="shared" si="8"/>
        <v>0</v>
      </c>
      <c r="Q47" s="471">
        <f t="shared" si="9"/>
        <v>0</v>
      </c>
      <c r="R47" s="197"/>
      <c r="S47" s="197"/>
      <c r="T47" s="197"/>
      <c r="U47" s="439">
        <f t="shared" si="10"/>
        <v>5.4226371210654101E-2</v>
      </c>
      <c r="V47" s="197"/>
      <c r="W47" s="440">
        <f t="shared" si="11"/>
        <v>0</v>
      </c>
      <c r="X47" s="440">
        <f t="shared" si="12"/>
        <v>0</v>
      </c>
      <c r="Y47" s="440">
        <f t="shared" si="17"/>
        <v>7198.2576626263462</v>
      </c>
      <c r="Z47" s="197"/>
      <c r="AA47" s="440">
        <f t="shared" si="2"/>
        <v>370.25766262634625</v>
      </c>
      <c r="AB47" s="197"/>
      <c r="AC47" s="475">
        <v>6828</v>
      </c>
      <c r="AD47" s="475">
        <v>6828</v>
      </c>
      <c r="AE47" s="479">
        <v>6828</v>
      </c>
      <c r="AF47" s="453">
        <f t="shared" si="3"/>
        <v>0</v>
      </c>
      <c r="AG47" s="453">
        <f t="shared" si="4"/>
        <v>0</v>
      </c>
      <c r="AH47" s="197"/>
      <c r="AI47" s="476">
        <f t="shared" si="16"/>
        <v>370.25766262634625</v>
      </c>
      <c r="AJ47" s="477">
        <f t="shared" si="13"/>
        <v>370.25766262634625</v>
      </c>
      <c r="AK47" s="477">
        <f t="shared" si="14"/>
        <v>370.25766262634625</v>
      </c>
      <c r="AL47" s="478">
        <f t="shared" si="15"/>
        <v>370.25766262634625</v>
      </c>
      <c r="AM47" s="451"/>
      <c r="AN47" s="9"/>
      <c r="AO47" s="9"/>
      <c r="AP47" s="9"/>
      <c r="AQ47" s="9"/>
      <c r="AR47" s="9"/>
      <c r="AS47" s="9"/>
      <c r="AT47" s="9"/>
      <c r="AU47" s="9"/>
      <c r="AV47" s="9"/>
      <c r="AW47" s="9"/>
      <c r="AX47" s="9"/>
    </row>
    <row r="48" spans="1:50">
      <c r="A48" s="103" t="s">
        <v>69</v>
      </c>
      <c r="B48" s="438"/>
      <c r="C48" s="95">
        <v>181067</v>
      </c>
      <c r="D48" s="471"/>
      <c r="E48" s="471"/>
      <c r="F48" s="471"/>
      <c r="G48" s="471"/>
      <c r="H48" s="471"/>
      <c r="I48" s="471"/>
      <c r="J48" s="471">
        <f>DHBProviderWageIncrease19</f>
        <v>7.9202574354182861E-2</v>
      </c>
      <c r="K48" s="471">
        <f t="shared" si="5"/>
        <v>0.63347109938329471</v>
      </c>
      <c r="L48" s="471"/>
      <c r="M48" s="471">
        <f t="shared" si="6"/>
        <v>0.36652890061670529</v>
      </c>
      <c r="N48" s="471">
        <f t="shared" si="7"/>
        <v>0.02</v>
      </c>
      <c r="O48" s="471">
        <f>BirthGrowth19</f>
        <v>9.7719869706840434E-3</v>
      </c>
      <c r="P48" s="471">
        <f t="shared" si="8"/>
        <v>0</v>
      </c>
      <c r="Q48" s="471">
        <f t="shared" si="9"/>
        <v>0</v>
      </c>
      <c r="R48" s="197"/>
      <c r="S48" s="197"/>
      <c r="T48" s="197"/>
      <c r="U48" s="439">
        <f t="shared" si="10"/>
        <v>6.7837026571219372E-2</v>
      </c>
      <c r="V48" s="197"/>
      <c r="W48" s="440">
        <f t="shared" si="11"/>
        <v>0</v>
      </c>
      <c r="X48" s="440">
        <f t="shared" si="12"/>
        <v>0</v>
      </c>
      <c r="Y48" s="440">
        <f t="shared" si="17"/>
        <v>193350.04689017098</v>
      </c>
      <c r="Z48" s="197"/>
      <c r="AA48" s="440">
        <f t="shared" si="2"/>
        <v>12283.046890170983</v>
      </c>
      <c r="AB48" s="197"/>
      <c r="AC48" s="475">
        <v>181067</v>
      </c>
      <c r="AD48" s="475">
        <v>181067</v>
      </c>
      <c r="AE48" s="479">
        <v>188492</v>
      </c>
      <c r="AF48" s="453">
        <f t="shared" si="3"/>
        <v>7425</v>
      </c>
      <c r="AG48" s="453">
        <f t="shared" si="4"/>
        <v>7425</v>
      </c>
      <c r="AH48" s="197"/>
      <c r="AI48" s="476">
        <f t="shared" si="16"/>
        <v>4858.0468901709828</v>
      </c>
      <c r="AJ48" s="477">
        <f t="shared" si="13"/>
        <v>4858.0468901709828</v>
      </c>
      <c r="AK48" s="477">
        <f t="shared" si="14"/>
        <v>4858.0468901709828</v>
      </c>
      <c r="AL48" s="478">
        <f t="shared" si="15"/>
        <v>4858.0468901709828</v>
      </c>
      <c r="AM48" s="451"/>
      <c r="AN48" s="9"/>
      <c r="AO48" s="9"/>
      <c r="AP48" s="9"/>
    </row>
    <row r="49" spans="1:42">
      <c r="A49" s="103" t="s">
        <v>70</v>
      </c>
      <c r="B49" s="438"/>
      <c r="C49" s="95">
        <v>68094</v>
      </c>
      <c r="D49" s="471"/>
      <c r="E49" s="471"/>
      <c r="F49" s="471"/>
      <c r="G49" s="471"/>
      <c r="H49" s="471"/>
      <c r="I49" s="471"/>
      <c r="J49" s="471">
        <f>DHBProviderWageIncrease19</f>
        <v>7.9202574354182861E-2</v>
      </c>
      <c r="K49" s="471">
        <f t="shared" si="5"/>
        <v>0.63347109938329471</v>
      </c>
      <c r="L49" s="471"/>
      <c r="M49" s="471">
        <f t="shared" si="6"/>
        <v>0.36652890061670529</v>
      </c>
      <c r="N49" s="471">
        <f t="shared" si="7"/>
        <v>0.02</v>
      </c>
      <c r="O49" s="471">
        <f>Demographics!AE29</f>
        <v>1.5371980195708179E-2</v>
      </c>
      <c r="P49" s="471">
        <f t="shared" si="8"/>
        <v>0</v>
      </c>
      <c r="Q49" s="471">
        <f t="shared" si="9"/>
        <v>0</v>
      </c>
      <c r="R49" s="197"/>
      <c r="S49" s="197"/>
      <c r="T49" s="197"/>
      <c r="U49" s="439">
        <f t="shared" si="10"/>
        <v>7.3759036877891093E-2</v>
      </c>
      <c r="V49" s="197"/>
      <c r="W49" s="440">
        <f t="shared" si="11"/>
        <v>75900</v>
      </c>
      <c r="X49" s="440">
        <f t="shared" si="12"/>
        <v>0</v>
      </c>
      <c r="Y49" s="440">
        <f t="shared" si="17"/>
        <v>149016.54785716312</v>
      </c>
      <c r="Z49" s="197"/>
      <c r="AA49" s="440">
        <f t="shared" si="2"/>
        <v>80922.547857163125</v>
      </c>
      <c r="AB49" s="197"/>
      <c r="AC49" s="453">
        <v>80194</v>
      </c>
      <c r="AD49" s="475">
        <v>77694</v>
      </c>
      <c r="AE49" s="479">
        <v>141296</v>
      </c>
      <c r="AF49" s="453">
        <f t="shared" si="3"/>
        <v>73202</v>
      </c>
      <c r="AG49" s="453">
        <f t="shared" si="4"/>
        <v>63602</v>
      </c>
      <c r="AH49" s="197"/>
      <c r="AI49" s="476">
        <f t="shared" si="16"/>
        <v>-68179.452142836875</v>
      </c>
      <c r="AJ49" s="477">
        <f t="shared" si="13"/>
        <v>7720.5478571631247</v>
      </c>
      <c r="AK49" s="477">
        <f t="shared" si="14"/>
        <v>7720.5478571631247</v>
      </c>
      <c r="AL49" s="478">
        <f t="shared" si="15"/>
        <v>7720.5478571631247</v>
      </c>
      <c r="AM49" s="451"/>
      <c r="AN49" s="9"/>
      <c r="AO49" s="9"/>
      <c r="AP49" s="9"/>
    </row>
    <row r="50" spans="1:42">
      <c r="A50" s="103" t="s">
        <v>71</v>
      </c>
      <c r="B50" s="438"/>
      <c r="C50" s="95">
        <v>78151</v>
      </c>
      <c r="D50" s="471"/>
      <c r="E50" s="471"/>
      <c r="F50" s="471"/>
      <c r="G50" s="471"/>
      <c r="H50" s="471"/>
      <c r="I50" s="471"/>
      <c r="J50" s="471">
        <f>DHBProviderWageIncrease19</f>
        <v>7.9202574354182861E-2</v>
      </c>
      <c r="K50" s="471">
        <f t="shared" si="5"/>
        <v>0.63347109938329471</v>
      </c>
      <c r="L50" s="471"/>
      <c r="M50" s="471">
        <f t="shared" si="6"/>
        <v>0.36652890061670529</v>
      </c>
      <c r="N50" s="471">
        <f t="shared" si="7"/>
        <v>0.02</v>
      </c>
      <c r="O50" s="471">
        <f>PopulationGrowth19</f>
        <v>2.3278682332490863E-2</v>
      </c>
      <c r="P50" s="471">
        <f t="shared" si="8"/>
        <v>0</v>
      </c>
      <c r="Q50" s="471">
        <f t="shared" si="9"/>
        <v>0</v>
      </c>
      <c r="R50" s="197"/>
      <c r="S50" s="197"/>
      <c r="T50" s="197"/>
      <c r="U50" s="439">
        <f t="shared" si="10"/>
        <v>8.2120399055361837E-2</v>
      </c>
      <c r="V50" s="197"/>
      <c r="W50" s="440">
        <f t="shared" si="11"/>
        <v>0</v>
      </c>
      <c r="X50" s="440">
        <f t="shared" si="12"/>
        <v>-7277</v>
      </c>
      <c r="Y50" s="440">
        <f t="shared" si="17"/>
        <v>77291.791306575586</v>
      </c>
      <c r="Z50" s="197"/>
      <c r="AA50" s="440">
        <f t="shared" si="2"/>
        <v>-859.20869342441438</v>
      </c>
      <c r="AB50" s="197"/>
      <c r="AC50" s="453">
        <v>70751</v>
      </c>
      <c r="AD50" s="475">
        <v>70751</v>
      </c>
      <c r="AE50" s="479">
        <v>67005</v>
      </c>
      <c r="AF50" s="453">
        <f t="shared" si="3"/>
        <v>-11146</v>
      </c>
      <c r="AG50" s="453">
        <f t="shared" si="4"/>
        <v>-3746</v>
      </c>
      <c r="AH50" s="197"/>
      <c r="AI50" s="476">
        <f t="shared" si="16"/>
        <v>17563.791306575586</v>
      </c>
      <c r="AJ50" s="477">
        <f t="shared" si="13"/>
        <v>17563.791306575586</v>
      </c>
      <c r="AK50" s="477">
        <f t="shared" si="14"/>
        <v>10286.791306575586</v>
      </c>
      <c r="AL50" s="478">
        <f t="shared" si="15"/>
        <v>10286.791306575586</v>
      </c>
      <c r="AM50" s="451"/>
      <c r="AN50" s="9"/>
      <c r="AO50" s="9"/>
      <c r="AP50" s="9"/>
    </row>
    <row r="51" spans="1:42">
      <c r="A51" s="103" t="s">
        <v>72</v>
      </c>
      <c r="B51" s="438"/>
      <c r="C51" s="95">
        <v>266396</v>
      </c>
      <c r="D51" s="471"/>
      <c r="E51" s="471"/>
      <c r="F51" s="471"/>
      <c r="G51" s="471"/>
      <c r="H51" s="471"/>
      <c r="I51" s="471"/>
      <c r="J51" s="471">
        <f>AllIndustriesWageIncr19</f>
        <v>3.2000000000000001E-2</v>
      </c>
      <c r="K51" s="471">
        <f t="shared" si="5"/>
        <v>0.63347109938329471</v>
      </c>
      <c r="L51" s="471"/>
      <c r="M51" s="471">
        <f t="shared" si="6"/>
        <v>0.36652890061670529</v>
      </c>
      <c r="N51" s="471">
        <f t="shared" si="7"/>
        <v>0.02</v>
      </c>
      <c r="O51" s="471">
        <f>PopulationGrowth19</f>
        <v>2.3278682332490863E-2</v>
      </c>
      <c r="P51" s="471">
        <f t="shared" si="8"/>
        <v>0</v>
      </c>
      <c r="Q51" s="471">
        <f t="shared" si="9"/>
        <v>0</v>
      </c>
      <c r="R51" s="197"/>
      <c r="S51" s="197"/>
      <c r="T51" s="197"/>
      <c r="U51" s="439">
        <f t="shared" si="10"/>
        <v>5.1522865641612459E-2</v>
      </c>
      <c r="V51" s="197"/>
      <c r="W51" s="440">
        <f t="shared" si="11"/>
        <v>43034</v>
      </c>
      <c r="X51" s="440">
        <f t="shared" si="12"/>
        <v>1625</v>
      </c>
      <c r="Y51" s="440">
        <f t="shared" si="17"/>
        <v>324780.48531546298</v>
      </c>
      <c r="Z51" s="197"/>
      <c r="AA51" s="440">
        <f t="shared" si="2"/>
        <v>58384.485315462982</v>
      </c>
      <c r="AB51" s="197"/>
      <c r="AC51" s="475">
        <v>264639</v>
      </c>
      <c r="AD51" s="475">
        <v>264639</v>
      </c>
      <c r="AE51" s="479">
        <v>330533</v>
      </c>
      <c r="AF51" s="453">
        <f t="shared" si="3"/>
        <v>64137</v>
      </c>
      <c r="AG51" s="453">
        <f t="shared" si="4"/>
        <v>65894</v>
      </c>
      <c r="AH51" s="197"/>
      <c r="AI51" s="476">
        <f t="shared" si="16"/>
        <v>-50411.514684537018</v>
      </c>
      <c r="AJ51" s="477">
        <f t="shared" si="13"/>
        <v>-7377.5146845370182</v>
      </c>
      <c r="AK51" s="477">
        <f t="shared" si="14"/>
        <v>-5752.5146845370182</v>
      </c>
      <c r="AL51" s="478">
        <f t="shared" si="15"/>
        <v>-5752.5146845370182</v>
      </c>
      <c r="AM51" s="451"/>
      <c r="AN51" s="9"/>
      <c r="AO51" s="9"/>
      <c r="AP51" s="9"/>
    </row>
    <row r="52" spans="1:42">
      <c r="A52" s="480" t="s">
        <v>73</v>
      </c>
      <c r="B52" s="438"/>
      <c r="C52" s="95">
        <v>20941</v>
      </c>
      <c r="D52" s="471"/>
      <c r="E52" s="471"/>
      <c r="F52" s="471"/>
      <c r="G52" s="471"/>
      <c r="H52" s="471"/>
      <c r="I52" s="471"/>
      <c r="J52" s="471">
        <f>AllIndustriesWageIncr19</f>
        <v>3.2000000000000001E-2</v>
      </c>
      <c r="K52" s="471">
        <f t="shared" si="5"/>
        <v>0.63347109938329471</v>
      </c>
      <c r="L52" s="471"/>
      <c r="M52" s="471">
        <f t="shared" si="6"/>
        <v>0.36652890061670529</v>
      </c>
      <c r="N52" s="471">
        <f t="shared" si="7"/>
        <v>0.02</v>
      </c>
      <c r="O52" s="471">
        <f>PopulationGrowth19</f>
        <v>2.3278682332490863E-2</v>
      </c>
      <c r="P52" s="471">
        <f t="shared" si="8"/>
        <v>0</v>
      </c>
      <c r="Q52" s="471">
        <f t="shared" si="9"/>
        <v>0</v>
      </c>
      <c r="R52" s="197"/>
      <c r="S52" s="197"/>
      <c r="T52" s="197"/>
      <c r="U52" s="439">
        <f t="shared" si="10"/>
        <v>5.1522865641612459E-2</v>
      </c>
      <c r="V52" s="197"/>
      <c r="W52" s="440">
        <f t="shared" si="11"/>
        <v>0</v>
      </c>
      <c r="X52" s="440">
        <f t="shared" si="12"/>
        <v>0</v>
      </c>
      <c r="Y52" s="440">
        <f t="shared" si="17"/>
        <v>22019.940329401008</v>
      </c>
      <c r="Z52" s="197"/>
      <c r="AA52" s="440">
        <f t="shared" si="2"/>
        <v>1078.9403294010081</v>
      </c>
      <c r="AB52" s="323"/>
      <c r="AC52" s="453">
        <v>17765</v>
      </c>
      <c r="AD52" s="475">
        <v>15265</v>
      </c>
      <c r="AE52" s="479">
        <v>18698</v>
      </c>
      <c r="AF52" s="453">
        <f t="shared" si="3"/>
        <v>-2243</v>
      </c>
      <c r="AG52" s="453">
        <f t="shared" si="4"/>
        <v>3433</v>
      </c>
      <c r="AH52" s="197"/>
      <c r="AI52" s="476">
        <f t="shared" si="16"/>
        <v>3321.9403294010081</v>
      </c>
      <c r="AJ52" s="477">
        <f t="shared" si="13"/>
        <v>3321.9403294010081</v>
      </c>
      <c r="AK52" s="477">
        <f t="shared" si="14"/>
        <v>3321.9403294010081</v>
      </c>
      <c r="AL52" s="478">
        <f t="shared" si="15"/>
        <v>3321.9403294010081</v>
      </c>
      <c r="AM52" s="451"/>
      <c r="AN52" s="9"/>
      <c r="AO52" s="9"/>
      <c r="AP52" s="9"/>
    </row>
    <row r="53" spans="1:42">
      <c r="A53" s="480" t="s">
        <v>74</v>
      </c>
      <c r="B53" s="438"/>
      <c r="C53" s="95">
        <v>423424</v>
      </c>
      <c r="D53" s="481"/>
      <c r="E53" s="481"/>
      <c r="F53" s="481"/>
      <c r="G53" s="481"/>
      <c r="H53" s="481"/>
      <c r="I53" s="481"/>
      <c r="J53" s="481">
        <f>DHBProviderWageIncrease19</f>
        <v>7.9202574354182861E-2</v>
      </c>
      <c r="K53" s="481">
        <f t="shared" si="5"/>
        <v>0.63347109938329471</v>
      </c>
      <c r="L53" s="481"/>
      <c r="M53" s="481">
        <f t="shared" si="6"/>
        <v>0.36652890061670529</v>
      </c>
      <c r="N53" s="481">
        <f t="shared" si="7"/>
        <v>0.02</v>
      </c>
      <c r="O53" s="481">
        <f>PopulationGrowth19</f>
        <v>2.3278682332490863E-2</v>
      </c>
      <c r="P53" s="481">
        <f t="shared" si="8"/>
        <v>0</v>
      </c>
      <c r="Q53" s="481">
        <f t="shared" si="9"/>
        <v>0</v>
      </c>
      <c r="R53" s="323"/>
      <c r="S53" s="323"/>
      <c r="T53" s="323"/>
      <c r="U53" s="482">
        <f t="shared" si="10"/>
        <v>8.2120399055361837E-2</v>
      </c>
      <c r="V53" s="323"/>
      <c r="W53" s="440">
        <f t="shared" si="11"/>
        <v>17120</v>
      </c>
      <c r="X53" s="440">
        <f t="shared" si="12"/>
        <v>0</v>
      </c>
      <c r="Y53" s="440">
        <f t="shared" si="17"/>
        <v>475315.7478496175</v>
      </c>
      <c r="Z53" s="323"/>
      <c r="AA53" s="453">
        <f t="shared" si="2"/>
        <v>51891.747849617503</v>
      </c>
      <c r="AB53" s="323"/>
      <c r="AC53" s="453">
        <v>403266</v>
      </c>
      <c r="AD53" s="475">
        <v>392608</v>
      </c>
      <c r="AE53" s="479">
        <v>440302</v>
      </c>
      <c r="AF53" s="453">
        <f>AE53-C53</f>
        <v>16878</v>
      </c>
      <c r="AG53" s="453">
        <f t="shared" si="4"/>
        <v>47694</v>
      </c>
      <c r="AH53" s="323"/>
      <c r="AI53" s="476">
        <f t="shared" si="16"/>
        <v>17893.747849617503</v>
      </c>
      <c r="AJ53" s="477">
        <f t="shared" si="13"/>
        <v>35013.747849617503</v>
      </c>
      <c r="AK53" s="477">
        <f t="shared" si="14"/>
        <v>35013.747849617503</v>
      </c>
      <c r="AL53" s="478">
        <f t="shared" si="15"/>
        <v>35013.747849617503</v>
      </c>
      <c r="AM53" s="451"/>
      <c r="AN53" s="9"/>
      <c r="AO53" s="9"/>
      <c r="AP53" s="9"/>
    </row>
    <row r="54" spans="1:42">
      <c r="A54" s="480" t="s">
        <v>820</v>
      </c>
      <c r="B54" s="483"/>
      <c r="C54" s="451">
        <v>348000</v>
      </c>
      <c r="D54" s="323"/>
      <c r="E54" s="323"/>
      <c r="F54" s="323"/>
      <c r="G54" s="323"/>
      <c r="H54" s="323"/>
      <c r="I54" s="323"/>
      <c r="J54" s="323"/>
      <c r="K54" s="323"/>
      <c r="L54" s="323"/>
      <c r="M54" s="323"/>
      <c r="N54" s="323"/>
      <c r="O54" s="323"/>
      <c r="P54" s="323"/>
      <c r="Q54" s="323"/>
      <c r="R54" s="323"/>
      <c r="S54" s="323"/>
      <c r="T54" s="323"/>
      <c r="U54" s="482">
        <f>Y54/C54-1</f>
        <v>0.18860919540229881</v>
      </c>
      <c r="V54" s="323"/>
      <c r="W54" s="440">
        <f t="shared" si="11"/>
        <v>0</v>
      </c>
      <c r="X54" s="440">
        <f t="shared" si="12"/>
        <v>0</v>
      </c>
      <c r="Y54" s="440">
        <v>413636</v>
      </c>
      <c r="Z54" s="323"/>
      <c r="AA54" s="453">
        <f>Y54-C54</f>
        <v>65636</v>
      </c>
      <c r="AB54" s="323"/>
      <c r="AC54" s="453">
        <v>377405</v>
      </c>
      <c r="AD54" s="475">
        <v>377405</v>
      </c>
      <c r="AE54" s="479">
        <v>413636</v>
      </c>
      <c r="AF54" s="453">
        <f>AE54-C54</f>
        <v>65636</v>
      </c>
      <c r="AG54" s="453">
        <f>AE54-AD54</f>
        <v>36231</v>
      </c>
      <c r="AH54" s="323"/>
      <c r="AI54" s="476">
        <f>Y54-W54-AE54-X54</f>
        <v>0</v>
      </c>
      <c r="AJ54" s="477">
        <f t="shared" si="13"/>
        <v>0</v>
      </c>
      <c r="AK54" s="477">
        <f t="shared" si="14"/>
        <v>0</v>
      </c>
      <c r="AL54" s="478">
        <f t="shared" si="15"/>
        <v>0</v>
      </c>
      <c r="AM54" s="451"/>
      <c r="AN54" s="9"/>
      <c r="AO54" s="9"/>
      <c r="AP54" s="9"/>
    </row>
    <row r="55" spans="1:42">
      <c r="A55" s="484" t="s">
        <v>76</v>
      </c>
      <c r="B55" s="485"/>
      <c r="C55" s="456"/>
      <c r="D55" s="457"/>
      <c r="E55" s="457"/>
      <c r="F55" s="457"/>
      <c r="G55" s="457"/>
      <c r="H55" s="457"/>
      <c r="I55" s="457"/>
      <c r="J55" s="457"/>
      <c r="K55" s="457"/>
      <c r="L55" s="457"/>
      <c r="M55" s="457"/>
      <c r="N55" s="457"/>
      <c r="O55" s="457"/>
      <c r="P55" s="457"/>
      <c r="Q55" s="457"/>
      <c r="R55" s="457"/>
      <c r="S55" s="457"/>
      <c r="T55" s="457"/>
      <c r="U55" s="458"/>
      <c r="V55" s="457"/>
      <c r="W55" s="459"/>
      <c r="X55" s="459"/>
      <c r="Y55" s="459"/>
      <c r="Z55" s="457"/>
      <c r="AA55" s="459"/>
      <c r="AB55" s="323"/>
      <c r="AC55" s="459">
        <v>45694</v>
      </c>
      <c r="AD55" s="486">
        <v>35694</v>
      </c>
      <c r="AE55" s="487"/>
      <c r="AF55" s="459">
        <f>AE55-C55</f>
        <v>0</v>
      </c>
      <c r="AG55" s="459">
        <f t="shared" si="4"/>
        <v>-35694</v>
      </c>
      <c r="AH55" s="323"/>
      <c r="AI55" s="488">
        <f t="shared" si="16"/>
        <v>0</v>
      </c>
      <c r="AJ55" s="489">
        <f t="shared" si="13"/>
        <v>0</v>
      </c>
      <c r="AK55" s="489">
        <f t="shared" si="14"/>
        <v>0</v>
      </c>
      <c r="AL55" s="478">
        <f t="shared" si="15"/>
        <v>0</v>
      </c>
      <c r="AM55" s="451"/>
      <c r="AN55" s="9"/>
      <c r="AO55" s="9"/>
      <c r="AP55" s="9"/>
    </row>
    <row r="56" spans="1:42">
      <c r="A56" s="490" t="s">
        <v>821</v>
      </c>
      <c r="B56" s="438"/>
      <c r="C56" s="438">
        <v>3501416</v>
      </c>
      <c r="D56" s="197"/>
      <c r="E56" s="197"/>
      <c r="F56" s="197"/>
      <c r="G56" s="197"/>
      <c r="H56" s="197"/>
      <c r="I56" s="197"/>
      <c r="J56" s="197"/>
      <c r="K56" s="197"/>
      <c r="L56" s="197"/>
      <c r="M56" s="197"/>
      <c r="N56" s="197"/>
      <c r="O56" s="197"/>
      <c r="P56" s="197"/>
      <c r="Q56" s="197"/>
      <c r="R56" s="197"/>
      <c r="S56" s="197"/>
      <c r="T56" s="197"/>
      <c r="U56" s="491">
        <f t="array" ref="U56">SUM(C37:C55*U37:U55)/SUM(C37:C55)</f>
        <v>7.1984712583587976E-2</v>
      </c>
      <c r="V56" s="197"/>
      <c r="W56" s="466">
        <f>K118</f>
        <v>170361</v>
      </c>
      <c r="X56" s="438">
        <f>G118</f>
        <v>-9248.6057861740992</v>
      </c>
      <c r="Y56" s="438">
        <f>SUM(Y36:Y55)-SUM(W36:W55)+W56-SUM(X36:X55)+X56</f>
        <v>3913504.8338968181</v>
      </c>
      <c r="Z56" s="438">
        <f>Y56</f>
        <v>3913504.8338968181</v>
      </c>
      <c r="AA56" s="438">
        <f t="shared" ref="AA56:AA76" si="18">Y56-C56</f>
        <v>412088.83389681811</v>
      </c>
      <c r="AB56" s="438"/>
      <c r="AC56" s="438">
        <f>SUM(AC36:AC55)</f>
        <v>3635994</v>
      </c>
      <c r="AD56" s="438">
        <f>AD59-AD32</f>
        <v>3599566</v>
      </c>
      <c r="AE56" s="438">
        <f>AE59-AE32</f>
        <v>3909558</v>
      </c>
      <c r="AF56" s="441">
        <f t="shared" ref="AF56:AF76" si="19">AE56-C56</f>
        <v>408142</v>
      </c>
      <c r="AG56" s="441">
        <f t="shared" si="4"/>
        <v>309992</v>
      </c>
      <c r="AH56" s="438"/>
      <c r="AI56" s="488">
        <f>Y56-W56-AE56-X56</f>
        <v>-157165.5603170078</v>
      </c>
      <c r="AJ56" s="489">
        <f>AI56+E118</f>
        <v>13195.439682992204</v>
      </c>
      <c r="AK56" s="489">
        <f>AJ56+G118</f>
        <v>3946.8338968181051</v>
      </c>
      <c r="AL56" s="444">
        <f>AK56+I118</f>
        <v>3946.8338968181051</v>
      </c>
      <c r="AM56" s="451"/>
      <c r="AN56" s="451"/>
      <c r="AO56" s="9"/>
      <c r="AP56" s="9"/>
    </row>
    <row r="57" spans="1:42">
      <c r="D57" s="197"/>
      <c r="E57" s="197"/>
      <c r="F57" s="197"/>
      <c r="G57" s="197"/>
      <c r="H57" s="197"/>
      <c r="I57" s="197"/>
      <c r="J57" s="197"/>
      <c r="K57" s="197"/>
      <c r="L57" s="197"/>
      <c r="M57" s="197"/>
      <c r="N57" s="197"/>
      <c r="O57" s="197"/>
      <c r="P57" s="197"/>
      <c r="Q57" s="197"/>
      <c r="R57" s="197"/>
      <c r="S57" s="197"/>
      <c r="T57" s="197"/>
      <c r="U57" s="323"/>
      <c r="V57" s="492" t="s">
        <v>813</v>
      </c>
      <c r="W57" s="9"/>
      <c r="X57" s="9"/>
      <c r="Y57" s="493">
        <f>Y56-W56-X56</f>
        <v>3752392.4396829922</v>
      </c>
      <c r="Z57" s="494" t="s">
        <v>290</v>
      </c>
      <c r="AA57" s="433">
        <f>AA56/C56</f>
        <v>0.11769205198605881</v>
      </c>
      <c r="AB57" s="9"/>
      <c r="AC57" s="467">
        <f>AC56-$C56</f>
        <v>134578</v>
      </c>
      <c r="AD57" s="467">
        <f>AD56-$C56</f>
        <v>98150</v>
      </c>
      <c r="AE57" s="468" t="s">
        <v>814</v>
      </c>
      <c r="AF57" s="467">
        <f>AA56-AF56</f>
        <v>3946.8338968181051</v>
      </c>
      <c r="AG57" s="467">
        <f>SUMPRODUCT(AD36:AD55,U36:U55)+W56+X56-AG56</f>
        <v>109485.77252216369</v>
      </c>
      <c r="AH57" s="9"/>
      <c r="AI57" s="9"/>
      <c r="AJ57" s="451"/>
      <c r="AK57" s="9"/>
      <c r="AL57" s="9"/>
      <c r="AM57" s="451"/>
      <c r="AN57" s="9"/>
      <c r="AO57" s="9"/>
      <c r="AP57" s="9"/>
    </row>
    <row r="58" spans="1:42">
      <c r="D58" s="197"/>
      <c r="E58" s="197"/>
      <c r="F58" s="197"/>
      <c r="G58" s="197"/>
      <c r="H58" s="197"/>
      <c r="I58" s="197"/>
      <c r="J58" s="197"/>
      <c r="K58" s="197"/>
      <c r="L58" s="197"/>
      <c r="M58" s="197"/>
      <c r="N58" s="197"/>
      <c r="O58" s="197"/>
      <c r="P58" s="197"/>
      <c r="Q58" s="197"/>
      <c r="R58" s="197"/>
      <c r="S58" s="197"/>
      <c r="T58" s="197"/>
      <c r="U58" s="457"/>
      <c r="V58" s="495" t="s">
        <v>290</v>
      </c>
      <c r="W58" s="496"/>
      <c r="X58" s="496"/>
      <c r="Y58" s="497">
        <f>Y57-C56</f>
        <v>250976.43968299218</v>
      </c>
      <c r="Z58" s="498" t="s">
        <v>290</v>
      </c>
      <c r="AA58" s="499">
        <f>Y58/C56</f>
        <v>7.1678555099705998E-2</v>
      </c>
      <c r="AB58" s="9"/>
      <c r="AC58" s="500"/>
      <c r="AD58" s="500"/>
      <c r="AE58" s="462"/>
      <c r="AF58" s="501">
        <f>Y58-AF56</f>
        <v>-157165.56031700782</v>
      </c>
      <c r="AG58" s="460"/>
      <c r="AH58" s="9"/>
      <c r="AI58" s="9"/>
      <c r="AJ58" s="9"/>
      <c r="AK58" s="9"/>
      <c r="AL58" s="9"/>
      <c r="AM58" s="451"/>
      <c r="AN58" s="9"/>
      <c r="AO58" s="9"/>
      <c r="AP58" s="9"/>
    </row>
    <row r="59" spans="1:42">
      <c r="A59" s="502" t="s">
        <v>822</v>
      </c>
      <c r="B59" s="502"/>
      <c r="C59" s="503">
        <v>16737125</v>
      </c>
      <c r="D59" s="197"/>
      <c r="E59" s="197"/>
      <c r="F59" s="197"/>
      <c r="G59" s="197"/>
      <c r="H59" s="197"/>
      <c r="I59" s="197"/>
      <c r="J59" s="197"/>
      <c r="K59" s="197"/>
      <c r="L59" s="197"/>
      <c r="M59" s="197"/>
      <c r="N59" s="197"/>
      <c r="O59" s="197"/>
      <c r="P59" s="197"/>
      <c r="Q59" s="197"/>
      <c r="R59" s="197"/>
      <c r="S59" s="197"/>
      <c r="T59" s="197"/>
      <c r="U59" s="491">
        <f t="array" ref="U59">SUM(C32:C52*U32:U52)/SUM(C32:C52)</f>
        <v>7.1880874642976128E-2</v>
      </c>
      <c r="W59" s="483">
        <f>W56+W32</f>
        <v>212861</v>
      </c>
      <c r="X59" s="483">
        <f>X56+X32</f>
        <v>-3596.6057861740992</v>
      </c>
      <c r="Y59" s="438">
        <f>Y32+Y56</f>
        <v>18033133.708934203</v>
      </c>
      <c r="Z59" s="438">
        <f>Y59</f>
        <v>18033133.708934203</v>
      </c>
      <c r="AA59" s="438">
        <f>Y59-C59</f>
        <v>1296008.7089342028</v>
      </c>
      <c r="AB59" s="438"/>
      <c r="AC59" s="438">
        <v>16985083</v>
      </c>
      <c r="AD59" s="438">
        <v>16942285</v>
      </c>
      <c r="AE59" s="438">
        <v>17889824</v>
      </c>
      <c r="AF59" s="441">
        <f>AE59-C59</f>
        <v>1152699</v>
      </c>
      <c r="AG59" s="441">
        <f>AE59-AD59</f>
        <v>947539</v>
      </c>
      <c r="AH59" s="438"/>
      <c r="AI59" s="442">
        <f>AI56+AI32</f>
        <v>-65954.685279622645</v>
      </c>
      <c r="AJ59" s="443">
        <f>AJ56+AJ32</f>
        <v>152406.31472037736</v>
      </c>
      <c r="AK59" s="443">
        <f>AK56+AK32</f>
        <v>148809.70893420326</v>
      </c>
      <c r="AL59" s="444">
        <f>AL56+AL32</f>
        <v>143309.70893420326</v>
      </c>
      <c r="AM59" s="451"/>
      <c r="AN59" s="9"/>
      <c r="AO59" s="9"/>
      <c r="AP59" s="9"/>
    </row>
    <row r="60" spans="1:42">
      <c r="D60" s="197"/>
      <c r="E60" s="197"/>
      <c r="F60" s="197"/>
      <c r="G60" s="197"/>
      <c r="H60" s="197"/>
      <c r="I60" s="197"/>
      <c r="J60" s="197"/>
      <c r="K60" s="197"/>
      <c r="L60" s="197"/>
      <c r="M60" s="197"/>
      <c r="N60" s="197"/>
      <c r="O60" s="197"/>
      <c r="P60" s="197"/>
      <c r="Q60" s="197"/>
      <c r="R60" s="197"/>
      <c r="S60" s="197"/>
      <c r="T60" s="197"/>
      <c r="U60" s="439"/>
      <c r="V60" s="446" t="s">
        <v>813</v>
      </c>
      <c r="Y60" s="447">
        <f>Y59-W59-X59</f>
        <v>17823869.314720377</v>
      </c>
      <c r="Z60" s="448" t="s">
        <v>290</v>
      </c>
      <c r="AA60" s="153">
        <f>AA59/C59</f>
        <v>7.7433173793838711E-2</v>
      </c>
      <c r="AB60" s="9"/>
      <c r="AC60" s="467">
        <f>AC59-$C59</f>
        <v>247958</v>
      </c>
      <c r="AD60" s="467">
        <f>AD59-$C59</f>
        <v>205160</v>
      </c>
      <c r="AE60" s="450" t="s">
        <v>814</v>
      </c>
      <c r="AF60" s="449">
        <f>AA59-AF59</f>
        <v>143309.70893420279</v>
      </c>
      <c r="AG60" s="449">
        <f>AG57+AG32</f>
        <v>747032.77252216369</v>
      </c>
      <c r="AH60" s="9"/>
      <c r="AI60" s="9"/>
      <c r="AJ60" s="9"/>
      <c r="AK60" s="9"/>
      <c r="AL60" s="9"/>
      <c r="AM60" s="451"/>
      <c r="AN60" s="9"/>
      <c r="AO60" s="9"/>
      <c r="AP60" s="9"/>
    </row>
    <row r="61" spans="1:42">
      <c r="A61" s="38" t="s">
        <v>78</v>
      </c>
      <c r="D61" s="197"/>
      <c r="E61" s="197"/>
      <c r="F61" s="197"/>
      <c r="G61" s="197"/>
      <c r="H61" s="197"/>
      <c r="I61" s="197"/>
      <c r="J61" s="197"/>
      <c r="K61" s="197"/>
      <c r="L61" s="197"/>
      <c r="M61" s="197"/>
      <c r="N61" s="197"/>
      <c r="O61" s="197"/>
      <c r="P61" s="197"/>
      <c r="Q61" s="197"/>
      <c r="R61" s="197"/>
      <c r="S61" s="197"/>
      <c r="T61" s="197"/>
      <c r="U61" s="197"/>
      <c r="Z61" s="438"/>
      <c r="AA61" s="95"/>
      <c r="AB61" s="95"/>
      <c r="AC61" s="95"/>
      <c r="AD61" s="95"/>
      <c r="AE61" s="95"/>
      <c r="AF61" s="95"/>
      <c r="AG61" s="95"/>
      <c r="AH61" s="95"/>
      <c r="AI61" s="9"/>
      <c r="AJ61" s="9"/>
      <c r="AK61" s="9"/>
      <c r="AL61" s="9"/>
      <c r="AM61" s="451"/>
      <c r="AN61" s="451"/>
      <c r="AO61" s="9"/>
      <c r="AP61" s="9"/>
    </row>
    <row r="62" spans="1:42">
      <c r="D62" s="197"/>
      <c r="E62" s="197"/>
      <c r="F62" s="197"/>
      <c r="G62" s="197"/>
      <c r="H62" s="197"/>
      <c r="I62" s="197"/>
      <c r="J62" s="197"/>
      <c r="K62" s="197"/>
      <c r="L62" s="197"/>
      <c r="M62" s="197"/>
      <c r="N62" s="197"/>
      <c r="O62" s="197"/>
      <c r="P62" s="197"/>
      <c r="Q62" s="197"/>
      <c r="R62" s="197"/>
      <c r="S62" s="197"/>
      <c r="T62" s="197"/>
      <c r="U62" s="439"/>
      <c r="AA62" s="95"/>
      <c r="AB62" s="95"/>
      <c r="AC62" s="95"/>
      <c r="AD62" s="95"/>
      <c r="AE62" s="95"/>
      <c r="AF62" s="95"/>
      <c r="AG62" s="95"/>
      <c r="AH62" s="95"/>
      <c r="AI62" s="9"/>
      <c r="AJ62" s="9"/>
      <c r="AK62" s="9"/>
      <c r="AL62" s="9"/>
      <c r="AM62" s="9"/>
      <c r="AN62" s="9"/>
      <c r="AO62" s="9"/>
      <c r="AP62" s="9"/>
    </row>
    <row r="63" spans="1:42">
      <c r="A63" s="502" t="s">
        <v>823</v>
      </c>
      <c r="B63" s="502"/>
      <c r="C63" s="503">
        <v>0</v>
      </c>
      <c r="D63" s="504"/>
      <c r="E63" s="197"/>
      <c r="F63" s="197"/>
      <c r="G63" s="197"/>
      <c r="H63" s="197"/>
      <c r="I63" s="197"/>
      <c r="J63" s="197"/>
      <c r="K63" s="197"/>
      <c r="L63" s="197"/>
      <c r="M63" s="197"/>
      <c r="N63" s="197"/>
      <c r="O63" s="197"/>
      <c r="P63" s="197"/>
      <c r="Q63" s="197"/>
      <c r="R63" s="197"/>
      <c r="S63" s="197"/>
      <c r="T63" s="197"/>
      <c r="U63" s="491">
        <f>IFERROR(SUM(C62*U62)/SUM(C62),U62)</f>
        <v>0</v>
      </c>
      <c r="Y63" s="438">
        <f t="array" ref="Y63">SUM(C60:C62*(1+U60:U62))</f>
        <v>0</v>
      </c>
      <c r="Z63" s="438">
        <f>Y63</f>
        <v>0</v>
      </c>
      <c r="AA63" s="438">
        <f>Y63-C63</f>
        <v>0</v>
      </c>
      <c r="AB63" s="438"/>
      <c r="AC63" s="438"/>
      <c r="AD63" s="438"/>
      <c r="AE63" s="438"/>
      <c r="AF63" s="438"/>
      <c r="AG63" s="438"/>
      <c r="AH63" s="438"/>
      <c r="AI63" s="9"/>
      <c r="AJ63" s="9"/>
      <c r="AK63" s="9"/>
      <c r="AL63" s="9"/>
      <c r="AM63" s="9"/>
      <c r="AN63" s="9"/>
      <c r="AO63" s="9"/>
      <c r="AP63" s="9"/>
    </row>
    <row r="64" spans="1:42">
      <c r="D64" s="197"/>
      <c r="E64" s="197"/>
      <c r="F64" s="197"/>
      <c r="G64" s="197"/>
      <c r="H64" s="197"/>
      <c r="I64" s="197"/>
      <c r="J64" s="197"/>
      <c r="K64" s="197"/>
      <c r="L64" s="197"/>
      <c r="M64" s="197"/>
      <c r="N64" s="197"/>
      <c r="O64" s="197"/>
      <c r="P64" s="197"/>
      <c r="Q64" s="197"/>
      <c r="R64" s="197"/>
      <c r="S64" s="197"/>
      <c r="T64" s="197"/>
      <c r="U64" s="197"/>
      <c r="AA64" s="95"/>
      <c r="AB64" s="95"/>
      <c r="AC64" s="95"/>
      <c r="AD64" s="95"/>
      <c r="AE64" s="95"/>
      <c r="AF64" s="95"/>
      <c r="AG64" s="95"/>
      <c r="AH64" s="95"/>
      <c r="AI64" s="9"/>
      <c r="AJ64" s="9"/>
      <c r="AK64" s="9"/>
      <c r="AL64" s="9"/>
    </row>
    <row r="65" spans="1:42">
      <c r="A65" s="38" t="s">
        <v>81</v>
      </c>
      <c r="B65" s="38"/>
      <c r="D65" s="197"/>
      <c r="E65" s="197"/>
      <c r="F65" s="197"/>
      <c r="G65" s="197"/>
      <c r="H65" s="197"/>
      <c r="I65" s="197"/>
      <c r="J65" s="197"/>
      <c r="K65" s="197"/>
      <c r="L65" s="197"/>
      <c r="M65" s="197"/>
      <c r="N65" s="197"/>
      <c r="O65" s="197"/>
      <c r="P65" s="197"/>
      <c r="Q65" s="197"/>
      <c r="R65" s="197"/>
      <c r="S65" s="197"/>
      <c r="T65" s="197"/>
      <c r="U65" s="197"/>
      <c r="AC65" s="470"/>
      <c r="AD65" s="470"/>
      <c r="AE65" s="470"/>
      <c r="AF65" s="441"/>
      <c r="AG65" s="101"/>
      <c r="AI65" s="9"/>
      <c r="AJ65" s="9"/>
      <c r="AK65" s="9"/>
      <c r="AL65" s="9"/>
    </row>
    <row r="66" spans="1:42">
      <c r="A66" t="s">
        <v>82</v>
      </c>
      <c r="C66" s="95">
        <v>2030</v>
      </c>
      <c r="D66" s="197"/>
      <c r="E66" s="197"/>
      <c r="F66" s="197"/>
      <c r="G66" s="197"/>
      <c r="H66" s="197"/>
      <c r="I66" s="197"/>
      <c r="J66" s="197"/>
      <c r="K66" s="197"/>
      <c r="L66" s="197"/>
      <c r="M66" s="197">
        <v>1</v>
      </c>
      <c r="N66" s="197">
        <f>NonLabourGeneralCostIncreases19</f>
        <v>0.02</v>
      </c>
      <c r="O66" s="197"/>
      <c r="P66" s="197"/>
      <c r="Q66" s="197"/>
      <c r="R66" s="197"/>
      <c r="S66" s="197"/>
      <c r="T66" s="197"/>
      <c r="U66" s="439">
        <f>((1+D66)*E66+(1+F66)*G66+(1+H66)*I66+(1+J66)*K66+(1+L66+N66)*M66)*(1+O66)*(1+P66)*(1-Q66)+R66*(1+S66)-1</f>
        <v>2.0000000000000018E-2</v>
      </c>
      <c r="V66" s="197"/>
      <c r="W66" s="197"/>
      <c r="X66" s="197"/>
      <c r="Y66" s="440">
        <f>C66*(1+U66)</f>
        <v>2070.6</v>
      </c>
      <c r="Z66" s="197"/>
      <c r="AA66" s="197"/>
      <c r="AB66" s="197"/>
      <c r="AC66" s="470">
        <v>2030</v>
      </c>
      <c r="AD66" s="505">
        <v>2030</v>
      </c>
      <c r="AE66" s="479">
        <v>2030</v>
      </c>
      <c r="AF66" s="101">
        <f t="shared" ref="AF66:AF71" si="20">AE66-C66</f>
        <v>0</v>
      </c>
      <c r="AG66" s="101">
        <f>AE66-AD66</f>
        <v>0</v>
      </c>
      <c r="AH66" s="197"/>
      <c r="AI66" s="9"/>
      <c r="AJ66" s="9"/>
      <c r="AK66" s="9"/>
      <c r="AL66" s="9"/>
    </row>
    <row r="67" spans="1:42">
      <c r="A67" t="s">
        <v>83</v>
      </c>
      <c r="C67" s="95">
        <v>1028</v>
      </c>
      <c r="D67" s="197"/>
      <c r="E67" s="197"/>
      <c r="F67" s="197"/>
      <c r="G67" s="197"/>
      <c r="H67" s="197"/>
      <c r="I67" s="197"/>
      <c r="J67" s="197">
        <f>AllIndustriesWageIncr19</f>
        <v>3.2000000000000001E-2</v>
      </c>
      <c r="K67" s="197">
        <f>LabourProportion19</f>
        <v>0.63347109938329471</v>
      </c>
      <c r="L67" s="197"/>
      <c r="M67" s="197">
        <f>NonLabourProportion19</f>
        <v>0.36652890061670529</v>
      </c>
      <c r="N67" s="197">
        <f>NonLabourGeneralCostIncreases19</f>
        <v>0.02</v>
      </c>
      <c r="O67" s="197"/>
      <c r="P67" s="197"/>
      <c r="Q67" s="197">
        <f>ProductivityGrowth19</f>
        <v>0</v>
      </c>
      <c r="R67" s="197"/>
      <c r="S67" s="197"/>
      <c r="T67" s="197"/>
      <c r="U67" s="439">
        <f>((1+D67)*E67+(1+F67)*G67+(1+H67)*I67+(1+J67)*K67+(1+L67+N67)*M67)*(1+O67)*(1+P67)*(1-Q67)+R67*(1+S67)-1</f>
        <v>2.7601653192599551E-2</v>
      </c>
      <c r="V67" s="197"/>
      <c r="W67" s="197"/>
      <c r="X67" s="197"/>
      <c r="Y67" s="440">
        <f>C67*(1+U67)</f>
        <v>1056.3744994819924</v>
      </c>
      <c r="Z67" s="197"/>
      <c r="AA67" s="197"/>
      <c r="AB67" s="197"/>
      <c r="AC67" s="470">
        <v>11028</v>
      </c>
      <c r="AD67" s="505">
        <v>3378</v>
      </c>
      <c r="AE67" s="479">
        <v>1028</v>
      </c>
      <c r="AF67" s="101">
        <f t="shared" si="20"/>
        <v>0</v>
      </c>
      <c r="AG67" s="101">
        <f>AE67-AD67</f>
        <v>-2350</v>
      </c>
      <c r="AH67" s="197"/>
      <c r="AI67" s="9"/>
      <c r="AJ67" s="9"/>
      <c r="AK67" s="9"/>
      <c r="AL67" s="9"/>
    </row>
    <row r="68" spans="1:42">
      <c r="A68" t="s">
        <v>84</v>
      </c>
      <c r="C68" s="456">
        <v>24289</v>
      </c>
      <c r="D68" s="457"/>
      <c r="E68" s="457"/>
      <c r="F68" s="457"/>
      <c r="G68" s="457"/>
      <c r="H68" s="457"/>
      <c r="I68" s="457"/>
      <c r="J68" s="457">
        <f>AllIndustriesWageIncr19</f>
        <v>3.2000000000000001E-2</v>
      </c>
      <c r="K68" s="457">
        <f>LabourProportion19</f>
        <v>0.63347109938329471</v>
      </c>
      <c r="L68" s="457"/>
      <c r="M68" s="457">
        <f>NonLabourProportion19</f>
        <v>0.36652890061670529</v>
      </c>
      <c r="N68" s="457">
        <f>NonLabourGeneralCostIncreases19</f>
        <v>0.02</v>
      </c>
      <c r="O68" s="457"/>
      <c r="P68" s="457"/>
      <c r="Q68" s="457">
        <f>ProductivityGrowth19</f>
        <v>0</v>
      </c>
      <c r="R68" s="457"/>
      <c r="S68" s="457"/>
      <c r="T68" s="457"/>
      <c r="U68" s="458">
        <f>((1+D68)*E68+(1+F68)*G68+(1+H68)*I68+(1+J68)*K68+(1+L68+N68)*M68)*(1+O68)*(1+P68)*(1-Q68)+R68*(1+S68)-1</f>
        <v>2.7601653192599551E-2</v>
      </c>
      <c r="V68" s="457"/>
      <c r="W68" s="457"/>
      <c r="X68" s="457"/>
      <c r="Y68" s="459">
        <f>C68*(1+U68)</f>
        <v>24959.416554395051</v>
      </c>
      <c r="Z68" s="457"/>
      <c r="AA68" s="457"/>
      <c r="AB68" s="197"/>
      <c r="AC68" s="462">
        <v>28289</v>
      </c>
      <c r="AD68" s="486">
        <v>21289</v>
      </c>
      <c r="AE68" s="487">
        <v>43434</v>
      </c>
      <c r="AF68" s="460">
        <f>AE68-C68</f>
        <v>19145</v>
      </c>
      <c r="AG68" s="460">
        <f>AE68-AD68</f>
        <v>22145</v>
      </c>
      <c r="AH68" s="197"/>
      <c r="AI68" s="9"/>
      <c r="AJ68" s="9"/>
      <c r="AK68" s="9"/>
      <c r="AL68" s="9"/>
    </row>
    <row r="69" spans="1:42">
      <c r="A69" s="502" t="s">
        <v>824</v>
      </c>
      <c r="B69" s="502"/>
      <c r="C69" s="483">
        <v>27347</v>
      </c>
      <c r="D69" s="483"/>
      <c r="E69" s="113"/>
      <c r="F69" s="113"/>
      <c r="G69" s="113"/>
      <c r="H69" s="113"/>
      <c r="I69" s="113"/>
      <c r="J69" s="113"/>
      <c r="K69" s="113"/>
      <c r="L69" s="113"/>
      <c r="M69" s="113"/>
      <c r="N69" s="113"/>
      <c r="O69" s="113"/>
      <c r="P69" s="113"/>
      <c r="Q69" s="113"/>
      <c r="R69" s="197"/>
      <c r="S69" s="197"/>
      <c r="T69" s="197"/>
      <c r="U69" s="491">
        <f t="array" ref="U69">SUM(C66:C68*U66:U68)/SUM(C66:C68)</f>
        <v>2.7037373528249638E-2</v>
      </c>
      <c r="W69" s="438">
        <f>K121</f>
        <v>6445</v>
      </c>
      <c r="X69" s="438">
        <f>G121</f>
        <v>0</v>
      </c>
      <c r="Y69" s="438">
        <f t="array" ref="Y69">SUM(C66:C68*(1+U66:U68))+W69+X69</f>
        <v>34531.391053877043</v>
      </c>
      <c r="Z69" s="438">
        <f>Y69</f>
        <v>34531.391053877043</v>
      </c>
      <c r="AA69" s="438">
        <f>Y69-C69</f>
        <v>7184.3910538770433</v>
      </c>
      <c r="AB69" s="438"/>
      <c r="AC69" s="438">
        <v>41347</v>
      </c>
      <c r="AD69" s="438">
        <v>26697</v>
      </c>
      <c r="AE69" s="438">
        <v>46492</v>
      </c>
      <c r="AF69" s="441">
        <f t="shared" ref="AF69:AF74" si="21">AE69-C69</f>
        <v>19145</v>
      </c>
      <c r="AG69" s="441">
        <f>AE69-AD69</f>
        <v>19795</v>
      </c>
      <c r="AH69" s="438"/>
      <c r="AI69" s="442">
        <f>Y69-W69-AE69-X69</f>
        <v>-18405.608946122957</v>
      </c>
      <c r="AJ69" s="443">
        <f>AI69+E121</f>
        <v>-11960.608946122957</v>
      </c>
      <c r="AK69" s="443">
        <f>AJ69+G121</f>
        <v>-11960.608946122957</v>
      </c>
      <c r="AL69" s="444">
        <f>AK69+I121</f>
        <v>-11960.608946122957</v>
      </c>
    </row>
    <row r="70" spans="1:42">
      <c r="A70" s="6"/>
      <c r="B70" s="6"/>
      <c r="C70" s="483"/>
      <c r="D70" s="113"/>
      <c r="E70" s="113"/>
      <c r="F70" s="113"/>
      <c r="G70" s="113"/>
      <c r="H70" s="113"/>
      <c r="I70" s="113"/>
      <c r="J70" s="113"/>
      <c r="K70" s="113"/>
      <c r="L70" s="113"/>
      <c r="M70" s="113"/>
      <c r="N70" s="113"/>
      <c r="O70" s="113"/>
      <c r="P70" s="113"/>
      <c r="Q70" s="113"/>
      <c r="R70" s="197"/>
      <c r="S70" s="197"/>
      <c r="T70" s="197"/>
      <c r="U70" s="197"/>
      <c r="Z70" s="448"/>
      <c r="AA70" s="95"/>
      <c r="AB70" s="9"/>
      <c r="AC70" s="501">
        <f>AC69-$C69</f>
        <v>14000</v>
      </c>
      <c r="AD70" s="501">
        <f>AD69-$C69</f>
        <v>-650</v>
      </c>
      <c r="AE70" s="450" t="s">
        <v>814</v>
      </c>
      <c r="AF70" s="449">
        <f>AA69-AF69</f>
        <v>-11960.608946122957</v>
      </c>
      <c r="AG70" s="449">
        <f>SUMPRODUCT(AD66:AD68,U66:U68)+W69+X69-AG69</f>
        <v>-12628.550020698147</v>
      </c>
      <c r="AH70" s="9"/>
      <c r="AI70" s="9"/>
      <c r="AJ70" s="9"/>
      <c r="AK70" s="9"/>
      <c r="AL70" s="9"/>
    </row>
    <row r="71" spans="1:42">
      <c r="A71" s="506" t="s">
        <v>825</v>
      </c>
      <c r="B71" s="506"/>
      <c r="C71" s="507">
        <v>16971932</v>
      </c>
      <c r="D71" s="508"/>
      <c r="E71" s="508"/>
      <c r="F71" s="508"/>
      <c r="G71" s="508"/>
      <c r="H71" s="508"/>
      <c r="I71" s="508"/>
      <c r="J71" s="508"/>
      <c r="K71" s="508"/>
      <c r="L71" s="508"/>
      <c r="M71" s="508"/>
      <c r="N71" s="508"/>
      <c r="O71" s="508"/>
      <c r="P71" s="508"/>
      <c r="Q71" s="508"/>
      <c r="R71" s="509"/>
      <c r="S71" s="509"/>
      <c r="T71" s="509"/>
      <c r="U71" s="510">
        <f>(C8*U8+C59*U59+C63*U63+C69*U69)/(C8+C59+C69)</f>
        <v>7.1267361549294195E-2</v>
      </c>
      <c r="V71" s="509"/>
      <c r="W71" s="511">
        <f>W69+W59+W63+W8</f>
        <v>225782</v>
      </c>
      <c r="X71" s="511">
        <f>X69+X59+X63+X8</f>
        <v>0</v>
      </c>
      <c r="Y71" s="507">
        <f>Y69+Y59+Y63+Y8</f>
        <v>18290923.944745593</v>
      </c>
      <c r="Z71" s="507">
        <f>Z69+Z59+Z63+Z8</f>
        <v>18290923.944745593</v>
      </c>
      <c r="AA71" s="507">
        <f>AA69+AA59+AA63+AA8</f>
        <v>1318991.9447455907</v>
      </c>
      <c r="AB71" s="483"/>
      <c r="AC71" s="511">
        <f>AC69+AC63+AC59+AC8</f>
        <v>17246532</v>
      </c>
      <c r="AD71" s="511">
        <f>AD69+AD63+AD59+AD8</f>
        <v>17181384</v>
      </c>
      <c r="AE71" s="511">
        <f>AE69+AE63+AE59+AE8</f>
        <v>18157282</v>
      </c>
      <c r="AF71" s="511">
        <f t="shared" si="21"/>
        <v>1185350</v>
      </c>
      <c r="AG71" s="511">
        <f>AE71-AD71</f>
        <v>975898</v>
      </c>
      <c r="AH71" s="483"/>
      <c r="AI71" s="442">
        <f>AI59+AI69+AI8</f>
        <v>-92140.055254408886</v>
      </c>
      <c r="AJ71" s="443">
        <f>AJ59+AJ69+AJ8</f>
        <v>139141.94474559111</v>
      </c>
      <c r="AK71" s="443">
        <f>AK59+AK69+AK8</f>
        <v>139141.94474559111</v>
      </c>
      <c r="AL71" s="444">
        <f>AL59+AL69+AL8</f>
        <v>133641.94474559111</v>
      </c>
    </row>
    <row r="72" spans="1:42">
      <c r="D72" s="113"/>
      <c r="E72" s="113"/>
      <c r="F72" s="113"/>
      <c r="G72" s="113"/>
      <c r="H72" s="113"/>
      <c r="I72" s="113"/>
      <c r="J72" s="113"/>
      <c r="K72" s="113"/>
      <c r="L72" s="113"/>
      <c r="M72" s="113"/>
      <c r="N72" s="113"/>
      <c r="O72" s="113"/>
      <c r="P72" s="113"/>
      <c r="Q72" s="113"/>
      <c r="R72" s="197"/>
      <c r="S72" s="197"/>
      <c r="T72" s="197"/>
      <c r="U72" s="512"/>
      <c r="V72" s="446" t="s">
        <v>813</v>
      </c>
      <c r="Y72" s="447">
        <f>Y71-W71</f>
        <v>18065141.944745593</v>
      </c>
      <c r="Z72" s="448" t="s">
        <v>290</v>
      </c>
      <c r="AA72" s="153">
        <f>AA71/C71</f>
        <v>7.7716075267423343E-2</v>
      </c>
      <c r="AB72" s="9"/>
      <c r="AC72" s="449">
        <f>$C71-AC71</f>
        <v>-274600</v>
      </c>
      <c r="AD72" s="449">
        <f>$C71-AD71</f>
        <v>-209452</v>
      </c>
      <c r="AE72" s="450" t="s">
        <v>814</v>
      </c>
      <c r="AF72" s="449">
        <f>AA71-AF71</f>
        <v>133641.94474559068</v>
      </c>
      <c r="AG72" s="449">
        <f>AG70+AG63+AG59+AG7</f>
        <v>934910.44997930189</v>
      </c>
      <c r="AH72" s="9"/>
      <c r="AI72" s="9"/>
      <c r="AJ72" s="9"/>
      <c r="AK72" s="9"/>
      <c r="AL72" s="9"/>
    </row>
    <row r="73" spans="1:42">
      <c r="B73" s="38"/>
      <c r="C73" s="95"/>
      <c r="D73" s="113"/>
      <c r="E73" s="113"/>
      <c r="F73" s="113"/>
      <c r="G73" s="113"/>
      <c r="H73" s="113"/>
      <c r="I73" s="113"/>
      <c r="J73" s="113"/>
      <c r="K73" s="113"/>
      <c r="L73" s="113"/>
      <c r="M73" s="113"/>
      <c r="N73" s="113"/>
      <c r="O73" s="113"/>
      <c r="P73" s="113"/>
      <c r="Q73" s="113"/>
      <c r="R73" s="197"/>
      <c r="S73" s="197"/>
      <c r="T73" s="197"/>
      <c r="U73" s="197"/>
      <c r="V73" s="452" t="s">
        <v>290</v>
      </c>
      <c r="W73" s="123"/>
      <c r="X73" s="123"/>
      <c r="Y73" s="447">
        <f>Y72-C71</f>
        <v>1093209.9447455928</v>
      </c>
      <c r="Z73" s="447" t="s">
        <v>826</v>
      </c>
      <c r="AA73" s="153">
        <f>Y73/C71</f>
        <v>6.4412816687316021E-2</v>
      </c>
      <c r="AB73" s="447"/>
      <c r="AC73" s="266"/>
      <c r="AD73" s="266"/>
      <c r="AE73" s="123" t="s">
        <v>290</v>
      </c>
      <c r="AF73" s="153">
        <f>AF71/C71</f>
        <v>6.9841783481102801E-2</v>
      </c>
      <c r="AH73" s="447"/>
      <c r="AI73" s="9"/>
      <c r="AJ73" s="9"/>
      <c r="AK73" s="9"/>
      <c r="AL73" s="9"/>
    </row>
    <row r="74" spans="1:42">
      <c r="A74" s="38" t="s">
        <v>827</v>
      </c>
      <c r="B74" s="38"/>
      <c r="C74" s="95"/>
      <c r="D74" s="113"/>
      <c r="E74" s="113"/>
      <c r="F74" s="113"/>
      <c r="G74" s="113"/>
      <c r="H74" s="113"/>
      <c r="I74" s="113"/>
      <c r="J74" s="113"/>
      <c r="K74" s="113"/>
      <c r="L74" s="113"/>
      <c r="M74" s="113"/>
      <c r="N74" s="113"/>
      <c r="O74" s="113"/>
      <c r="P74" s="113"/>
      <c r="Q74" s="113"/>
      <c r="R74" s="197"/>
      <c r="S74" s="197"/>
      <c r="T74" s="197"/>
      <c r="U74" s="197"/>
      <c r="V74" s="452"/>
      <c r="W74" s="123"/>
      <c r="X74" s="123"/>
      <c r="Y74" s="447"/>
      <c r="Z74" s="447"/>
      <c r="AA74" s="153"/>
      <c r="AB74" s="447"/>
      <c r="AC74" s="266"/>
      <c r="AD74" s="266"/>
      <c r="AE74" s="449"/>
      <c r="AH74" s="447"/>
      <c r="AI74" s="9"/>
      <c r="AJ74" s="9"/>
      <c r="AK74" s="9"/>
      <c r="AL74" s="9"/>
    </row>
    <row r="75" spans="1:42">
      <c r="A75" t="s">
        <v>828</v>
      </c>
      <c r="C75" s="459">
        <v>8837</v>
      </c>
      <c r="D75" s="113"/>
      <c r="E75" s="113"/>
      <c r="F75" s="113"/>
      <c r="G75" s="113"/>
      <c r="H75" s="113"/>
      <c r="I75" s="113"/>
      <c r="J75" s="113"/>
      <c r="K75" s="113"/>
      <c r="L75" s="113"/>
      <c r="M75" s="113"/>
      <c r="N75" s="113"/>
      <c r="O75" s="113"/>
      <c r="P75" s="113"/>
      <c r="Q75" s="113"/>
      <c r="R75" s="457">
        <f>CapitalGoodsProportion19</f>
        <v>1</v>
      </c>
      <c r="S75" s="457">
        <f>CapitalPI19</f>
        <v>2.8000000000000001E-2</v>
      </c>
      <c r="T75" s="457"/>
      <c r="U75" s="457">
        <f>((1+D75)*E75+(1+F75)*G75+(1+H75)*I75+(1+L75+N75)*M75)*(1+O75)*(1+P75)+R75*(1+S75)-1</f>
        <v>2.8000000000000025E-2</v>
      </c>
      <c r="V75" s="119"/>
      <c r="W75" s="119"/>
      <c r="X75" s="119"/>
      <c r="Y75" s="459">
        <f>C75*(1+U75)</f>
        <v>9084.4359999999997</v>
      </c>
      <c r="Z75" s="119"/>
      <c r="AA75" s="119"/>
      <c r="AC75" s="513">
        <v>20887</v>
      </c>
      <c r="AD75" s="513">
        <v>16462</v>
      </c>
      <c r="AE75" s="513">
        <v>16000</v>
      </c>
      <c r="AF75" s="460">
        <f>AE75-C75</f>
        <v>7163</v>
      </c>
      <c r="AG75" s="101">
        <f>AE75-AD75</f>
        <v>-462</v>
      </c>
      <c r="AI75" s="9"/>
      <c r="AJ75" s="9"/>
      <c r="AK75" s="9"/>
      <c r="AL75" s="9"/>
    </row>
    <row r="76" spans="1:42">
      <c r="A76" s="502" t="s">
        <v>829</v>
      </c>
      <c r="B76" s="502"/>
      <c r="C76" s="503">
        <v>8837</v>
      </c>
      <c r="D76" s="113"/>
      <c r="E76" s="113"/>
      <c r="F76" s="113"/>
      <c r="G76" s="113"/>
      <c r="H76" s="113"/>
      <c r="I76" s="113"/>
      <c r="J76" s="113"/>
      <c r="K76" s="113"/>
      <c r="L76" s="113"/>
      <c r="M76" s="113"/>
      <c r="N76" s="113"/>
      <c r="O76" s="113"/>
      <c r="P76" s="113"/>
      <c r="Q76" s="113"/>
      <c r="R76" s="197"/>
      <c r="S76" s="197"/>
      <c r="T76" s="197"/>
      <c r="U76" s="197"/>
      <c r="Y76" s="438">
        <f t="array" ref="Y76">SUM(C75*(1+U75))</f>
        <v>9084.4359999999997</v>
      </c>
      <c r="AA76" s="438">
        <f>Y76-C76</f>
        <v>247.43599999999969</v>
      </c>
      <c r="AB76" s="438"/>
      <c r="AC76" s="514">
        <f>SUM(AC75)</f>
        <v>20887</v>
      </c>
      <c r="AD76" s="514">
        <f>SUM(AD75)</f>
        <v>16462</v>
      </c>
      <c r="AE76" s="514">
        <f>SUM(AE75)</f>
        <v>16000</v>
      </c>
      <c r="AF76" s="441">
        <f>AE76-C76</f>
        <v>7163</v>
      </c>
      <c r="AG76" s="515">
        <f>AE76-AD76</f>
        <v>-462</v>
      </c>
      <c r="AH76" s="438"/>
      <c r="AI76" s="9"/>
      <c r="AJ76" s="9"/>
      <c r="AK76" s="9"/>
      <c r="AL76" s="9"/>
    </row>
    <row r="77" spans="1:42">
      <c r="C77" s="95"/>
      <c r="D77" s="113"/>
      <c r="E77" s="113"/>
      <c r="F77" s="113"/>
      <c r="G77" s="113"/>
      <c r="H77" s="113"/>
      <c r="I77" s="113"/>
      <c r="J77" s="113"/>
      <c r="K77" s="113"/>
      <c r="L77" s="113"/>
      <c r="M77" s="113"/>
      <c r="N77" s="113"/>
      <c r="O77" s="113"/>
      <c r="P77" s="113"/>
      <c r="Q77" s="113"/>
      <c r="R77" s="197"/>
      <c r="S77" s="197"/>
      <c r="T77" s="197"/>
      <c r="U77" s="197"/>
      <c r="Z77" s="448"/>
      <c r="AA77" s="95"/>
      <c r="AB77" s="9"/>
      <c r="AC77" s="449">
        <f>$C76-AC76</f>
        <v>-12050</v>
      </c>
      <c r="AD77" s="449">
        <f>$C76-AD76</f>
        <v>-7625</v>
      </c>
      <c r="AE77" s="450" t="s">
        <v>814</v>
      </c>
      <c r="AF77" s="449">
        <f>AA76-AF76</f>
        <v>-6915.5640000000003</v>
      </c>
      <c r="AG77" s="449">
        <f>AD75*U75+W75+X75-AG76</f>
        <v>922.93600000000038</v>
      </c>
      <c r="AH77" s="9"/>
      <c r="AI77" s="9"/>
      <c r="AJ77" s="9"/>
      <c r="AK77" s="9"/>
      <c r="AL77" s="9"/>
      <c r="AM77" s="9"/>
      <c r="AN77" s="9"/>
      <c r="AO77" s="9"/>
      <c r="AP77" s="9"/>
    </row>
    <row r="78" spans="1:42">
      <c r="A78" s="38" t="s">
        <v>830</v>
      </c>
      <c r="B78" s="38"/>
      <c r="C78" s="95"/>
      <c r="D78" s="113"/>
      <c r="E78" s="113"/>
      <c r="F78" s="113"/>
      <c r="G78" s="113"/>
      <c r="H78" s="113"/>
      <c r="I78" s="113"/>
      <c r="J78" s="113"/>
      <c r="K78" s="113"/>
      <c r="L78" s="113"/>
      <c r="M78" s="113"/>
      <c r="N78" s="113"/>
      <c r="O78" s="113"/>
      <c r="P78" s="113"/>
      <c r="Q78" s="113"/>
      <c r="R78" s="197"/>
      <c r="S78" s="197"/>
      <c r="T78" s="197"/>
      <c r="U78" s="197"/>
      <c r="AI78" s="9"/>
      <c r="AJ78" s="9"/>
      <c r="AK78" s="9"/>
      <c r="AL78" s="9"/>
      <c r="AM78" s="9"/>
      <c r="AN78" s="9"/>
      <c r="AO78" s="9"/>
      <c r="AP78" s="9"/>
    </row>
    <row r="79" spans="1:42">
      <c r="A79" t="s">
        <v>831</v>
      </c>
      <c r="C79" s="95">
        <v>967383</v>
      </c>
      <c r="D79" s="113"/>
      <c r="E79" s="113"/>
      <c r="F79" s="113"/>
      <c r="G79" s="113"/>
      <c r="H79" s="113"/>
      <c r="I79" s="113"/>
      <c r="J79" s="113"/>
      <c r="K79" s="113"/>
      <c r="L79" s="113"/>
      <c r="M79" s="113"/>
      <c r="N79" s="113"/>
      <c r="O79" s="113"/>
      <c r="P79" s="113"/>
      <c r="Q79" s="113"/>
      <c r="R79" s="197">
        <f>CapitalGoodsProportion19</f>
        <v>1</v>
      </c>
      <c r="S79" s="197">
        <f>CapitalPI19</f>
        <v>2.8000000000000001E-2</v>
      </c>
      <c r="T79" s="197"/>
      <c r="U79" s="197">
        <f>((1+D79)*E79+(1+F79)*G79+(1+H79)*I79+(1+L79+N79)*M79)*(1+O79)*(1+P79)+R79*(1+S79)-1</f>
        <v>2.8000000000000025E-2</v>
      </c>
      <c r="Y79" s="440">
        <f>C79*(1+U79)</f>
        <v>994469.72400000005</v>
      </c>
      <c r="AC79" s="470">
        <v>264273</v>
      </c>
      <c r="AD79" s="516">
        <v>148773</v>
      </c>
      <c r="AE79" s="517">
        <v>1507470</v>
      </c>
      <c r="AF79" s="440">
        <f>AE79-C79</f>
        <v>540087</v>
      </c>
      <c r="AG79" s="440">
        <f>AE79-AD79</f>
        <v>1358697</v>
      </c>
      <c r="AI79" s="9"/>
      <c r="AJ79" s="9"/>
      <c r="AK79" s="9"/>
      <c r="AL79" s="9"/>
      <c r="AM79" s="9"/>
      <c r="AN79" s="9"/>
      <c r="AO79" s="9"/>
      <c r="AP79" s="9"/>
    </row>
    <row r="80" spans="1:42">
      <c r="A80" s="86" t="s">
        <v>832</v>
      </c>
      <c r="C80" s="95">
        <v>123000</v>
      </c>
      <c r="D80" s="113"/>
      <c r="E80" s="113"/>
      <c r="F80" s="113"/>
      <c r="G80" s="113"/>
      <c r="H80" s="113"/>
      <c r="I80" s="113"/>
      <c r="J80" s="113"/>
      <c r="K80" s="113"/>
      <c r="L80" s="113"/>
      <c r="M80" s="113"/>
      <c r="N80" s="113"/>
      <c r="O80" s="113"/>
      <c r="P80" s="113"/>
      <c r="Q80" s="113"/>
      <c r="R80" s="197">
        <f>CapitalGoodsProportion19</f>
        <v>1</v>
      </c>
      <c r="S80" s="197">
        <f>CapitalPI19</f>
        <v>2.8000000000000001E-2</v>
      </c>
      <c r="T80" s="197"/>
      <c r="U80" s="197">
        <f>((1+D80)*E80+(1+F80)*G80+(1+H80)*I80+(1+L80+N80)*M80)*(1+O80)*(1+P80)+R80*(1+S80)-1</f>
        <v>2.8000000000000025E-2</v>
      </c>
      <c r="Y80" s="440">
        <f>C80*(1+U80)</f>
        <v>126444</v>
      </c>
      <c r="AC80" s="470">
        <v>213922</v>
      </c>
      <c r="AD80" s="475">
        <v>213922</v>
      </c>
      <c r="AE80" s="479">
        <v>40600</v>
      </c>
      <c r="AF80" s="440">
        <f>AE80-C80</f>
        <v>-82400</v>
      </c>
      <c r="AG80" s="440">
        <f>AE80-AD80</f>
        <v>-173322</v>
      </c>
      <c r="AI80" s="9"/>
      <c r="AJ80" s="9"/>
      <c r="AK80" s="9"/>
      <c r="AL80" s="9"/>
      <c r="AM80" s="9"/>
      <c r="AN80" s="9"/>
      <c r="AO80" s="9"/>
      <c r="AP80" s="9"/>
    </row>
    <row r="81" spans="1:43">
      <c r="A81" t="s">
        <v>833</v>
      </c>
      <c r="C81" s="95">
        <v>15000</v>
      </c>
      <c r="D81" s="113"/>
      <c r="E81" s="113"/>
      <c r="F81" s="113"/>
      <c r="G81" s="113"/>
      <c r="H81" s="113"/>
      <c r="I81" s="113"/>
      <c r="J81" s="113"/>
      <c r="K81" s="113"/>
      <c r="L81" s="113"/>
      <c r="M81" s="113"/>
      <c r="N81" s="113"/>
      <c r="O81" s="113"/>
      <c r="P81" s="113"/>
      <c r="Q81" s="113"/>
      <c r="R81" s="197">
        <f>CapitalGoodsProportion19</f>
        <v>1</v>
      </c>
      <c r="S81" s="197">
        <f>CapitalPI19</f>
        <v>2.8000000000000001E-2</v>
      </c>
      <c r="T81" s="197"/>
      <c r="U81" s="197">
        <f>((1+D81)*E81+(1+F81)*G81+(1+H81)*I81+(1+L81+N81)*M81)*(1+O81)*(1+P81)+R81*(1+S81)-1</f>
        <v>2.8000000000000025E-2</v>
      </c>
      <c r="Y81" s="440">
        <f>C81*(1+U81)</f>
        <v>15420</v>
      </c>
      <c r="AC81" s="518">
        <v>15000</v>
      </c>
      <c r="AD81" s="475">
        <v>15000</v>
      </c>
      <c r="AE81" s="479">
        <v>15000</v>
      </c>
      <c r="AF81" s="440">
        <f>AE81-C81</f>
        <v>0</v>
      </c>
      <c r="AG81" s="440">
        <f>AE81-AD81</f>
        <v>0</v>
      </c>
      <c r="AI81" s="9"/>
      <c r="AJ81" s="9"/>
      <c r="AK81" s="9"/>
      <c r="AL81" s="9"/>
      <c r="AM81" s="9"/>
      <c r="AN81" s="9"/>
      <c r="AO81" s="9"/>
      <c r="AP81" s="9"/>
    </row>
    <row r="82" spans="1:43">
      <c r="A82" t="s">
        <v>834</v>
      </c>
      <c r="C82" s="95">
        <v>139211</v>
      </c>
      <c r="D82" s="113"/>
      <c r="E82" s="113"/>
      <c r="F82" s="113"/>
      <c r="G82" s="113"/>
      <c r="H82" s="113"/>
      <c r="I82" s="113"/>
      <c r="J82" s="113"/>
      <c r="K82" s="113"/>
      <c r="L82" s="113"/>
      <c r="M82" s="113"/>
      <c r="N82" s="113"/>
      <c r="O82" s="113"/>
      <c r="P82" s="113"/>
      <c r="Q82" s="113"/>
      <c r="R82" s="457">
        <f>CapitalGoodsProportion19</f>
        <v>1</v>
      </c>
      <c r="S82" s="457">
        <f>CapitalPI19</f>
        <v>2.8000000000000001E-2</v>
      </c>
      <c r="T82" s="457"/>
      <c r="U82" s="457">
        <f>((1+D82)*E82+(1+F82)*G82+(1+H82)*I82+(1+L82+N82)*M82)*(1+O82)*(1+P82)+R82*(1+S82)-1</f>
        <v>2.8000000000000025E-2</v>
      </c>
      <c r="V82" s="119"/>
      <c r="W82" s="119"/>
      <c r="X82" s="119"/>
      <c r="Y82" s="459">
        <f>C82*(1+U82)</f>
        <v>143108.908</v>
      </c>
      <c r="Z82" s="119"/>
      <c r="AA82" s="119"/>
      <c r="AC82" s="470">
        <v>234211</v>
      </c>
      <c r="AD82" s="475">
        <v>234211</v>
      </c>
      <c r="AE82" s="479">
        <v>134211</v>
      </c>
      <c r="AF82" s="459">
        <f>AE82-C82</f>
        <v>-5000</v>
      </c>
      <c r="AG82" s="459">
        <f>AE82-AD82</f>
        <v>-100000</v>
      </c>
      <c r="AI82" s="9"/>
      <c r="AJ82" s="9"/>
      <c r="AK82" s="9"/>
      <c r="AL82" s="9"/>
      <c r="AM82" s="9"/>
      <c r="AN82" s="9"/>
      <c r="AO82" s="9"/>
      <c r="AP82" s="9"/>
    </row>
    <row r="83" spans="1:43">
      <c r="A83" s="502" t="s">
        <v>835</v>
      </c>
      <c r="B83" s="502"/>
      <c r="C83" s="503">
        <v>1244594</v>
      </c>
      <c r="D83" s="113"/>
      <c r="E83" s="113"/>
      <c r="F83" s="113"/>
      <c r="G83" s="113"/>
      <c r="H83" s="113"/>
      <c r="I83" s="113"/>
      <c r="J83" s="113"/>
      <c r="K83" s="113"/>
      <c r="L83" s="113"/>
      <c r="M83" s="113"/>
      <c r="N83" s="113"/>
      <c r="O83" s="113"/>
      <c r="P83" s="113"/>
      <c r="Q83" s="113"/>
      <c r="R83" s="197"/>
      <c r="S83" s="197"/>
      <c r="T83" s="197"/>
      <c r="U83" s="197"/>
      <c r="Y83" s="438">
        <f t="array" ref="Y83">SUM(C79:C82*(1+U79:U82))</f>
        <v>1279442.632</v>
      </c>
      <c r="AA83" s="438">
        <f>Y83-C83</f>
        <v>34848.631999999983</v>
      </c>
      <c r="AB83" s="438"/>
      <c r="AC83" s="514">
        <f>SUM(AC79:AC82)</f>
        <v>727406</v>
      </c>
      <c r="AD83" s="514">
        <f>SUM(AD79:AD82)</f>
        <v>611906</v>
      </c>
      <c r="AE83" s="514">
        <f>SUM(AE79:AE82)</f>
        <v>1697281</v>
      </c>
      <c r="AF83" s="441">
        <f>AE83-C83</f>
        <v>452687</v>
      </c>
      <c r="AG83" s="515">
        <f>AE83-AD83</f>
        <v>1085375</v>
      </c>
      <c r="AH83" s="438"/>
      <c r="AI83" s="9"/>
      <c r="AJ83" s="9"/>
      <c r="AK83" s="9"/>
      <c r="AL83" s="9"/>
      <c r="AM83" s="9"/>
      <c r="AN83" s="9"/>
      <c r="AO83" s="9"/>
      <c r="AP83" s="9"/>
    </row>
    <row r="84" spans="1:43">
      <c r="A84" s="6"/>
      <c r="B84" s="6"/>
      <c r="C84" s="483"/>
      <c r="D84" s="113"/>
      <c r="E84" s="113"/>
      <c r="F84" s="113"/>
      <c r="G84" s="113"/>
      <c r="H84" s="113"/>
      <c r="I84" s="113"/>
      <c r="J84" s="113"/>
      <c r="K84" s="113"/>
      <c r="L84" s="113"/>
      <c r="M84" s="113"/>
      <c r="N84" s="113"/>
      <c r="O84" s="113"/>
      <c r="P84" s="113"/>
      <c r="Q84" s="113"/>
      <c r="R84" s="197"/>
      <c r="S84" s="197"/>
      <c r="T84" s="197"/>
      <c r="U84" s="197"/>
      <c r="Z84" s="448"/>
      <c r="AA84" s="95"/>
      <c r="AB84" s="9"/>
      <c r="AC84" s="449">
        <f>$C83-AC83</f>
        <v>517188</v>
      </c>
      <c r="AD84" s="449">
        <f>$C83-AD83</f>
        <v>632688</v>
      </c>
      <c r="AE84" s="450" t="s">
        <v>814</v>
      </c>
      <c r="AF84" s="449">
        <f>AA83-AF83</f>
        <v>-417838.36800000002</v>
      </c>
      <c r="AG84" s="449">
        <f>SUMPRODUCT(AD79:AD82,U79:U82)+W83+X83-AG83</f>
        <v>-1068241.632</v>
      </c>
      <c r="AH84" s="9"/>
      <c r="AI84" s="9"/>
      <c r="AJ84" s="9"/>
      <c r="AK84" s="9"/>
      <c r="AL84" s="9"/>
      <c r="AM84" s="9"/>
      <c r="AN84" s="9"/>
      <c r="AO84" s="9"/>
      <c r="AP84" s="9"/>
    </row>
    <row r="85" spans="1:43">
      <c r="A85" s="506" t="s">
        <v>836</v>
      </c>
      <c r="B85" s="506"/>
      <c r="C85" s="507">
        <v>1253431</v>
      </c>
      <c r="D85" s="508"/>
      <c r="E85" s="508"/>
      <c r="F85" s="508"/>
      <c r="G85" s="508"/>
      <c r="H85" s="508"/>
      <c r="I85" s="508"/>
      <c r="J85" s="508"/>
      <c r="K85" s="508"/>
      <c r="L85" s="508"/>
      <c r="M85" s="508"/>
      <c r="N85" s="508"/>
      <c r="O85" s="508"/>
      <c r="P85" s="508"/>
      <c r="Q85" s="508"/>
      <c r="R85" s="509"/>
      <c r="S85" s="509"/>
      <c r="T85" s="509"/>
      <c r="U85" s="510">
        <f t="array" ref="U85">SUM(C75*U75,C79:C81*U79:U81)/SUM(C75,C79:C81)</f>
        <v>2.8000000000000025E-2</v>
      </c>
      <c r="V85" s="214"/>
      <c r="W85" s="214"/>
      <c r="X85" s="214"/>
      <c r="Y85" s="507">
        <f>Y83+Y76</f>
        <v>1288527.068</v>
      </c>
      <c r="Z85" s="507">
        <f>Y85</f>
        <v>1288527.068</v>
      </c>
      <c r="AA85" s="507">
        <f>AA83+AA76</f>
        <v>35096.067999999985</v>
      </c>
      <c r="AB85" s="483"/>
      <c r="AC85" s="511">
        <f>AC83+AC76</f>
        <v>748293</v>
      </c>
      <c r="AD85" s="511">
        <f>AD83+AD76</f>
        <v>628368</v>
      </c>
      <c r="AE85" s="511">
        <f>AE83+AE76</f>
        <v>1713281</v>
      </c>
      <c r="AF85" s="511">
        <f>AE85-C85</f>
        <v>459850</v>
      </c>
      <c r="AG85" s="519">
        <f>AE85-AD85</f>
        <v>1084913</v>
      </c>
      <c r="AH85" s="483"/>
      <c r="AI85" s="9"/>
      <c r="AJ85" s="9"/>
      <c r="AK85" s="9"/>
      <c r="AL85" s="9"/>
      <c r="AM85" s="9"/>
      <c r="AN85" s="9"/>
      <c r="AO85" s="9"/>
      <c r="AP85" s="9"/>
    </row>
    <row r="86" spans="1:43">
      <c r="D86" s="113"/>
      <c r="E86" s="113"/>
      <c r="F86" s="113"/>
      <c r="G86" s="113"/>
      <c r="H86" s="113"/>
      <c r="I86" s="113"/>
      <c r="J86" s="113"/>
      <c r="K86" s="113"/>
      <c r="L86" s="113"/>
      <c r="M86" s="113"/>
      <c r="N86" s="113"/>
      <c r="O86" s="113"/>
      <c r="P86" s="113"/>
      <c r="Q86" s="113"/>
      <c r="R86" s="197"/>
      <c r="S86" s="197"/>
      <c r="T86" s="197"/>
      <c r="U86" s="197"/>
      <c r="AA86" s="95"/>
      <c r="AB86" s="95"/>
      <c r="AC86" s="266"/>
      <c r="AD86" s="266"/>
      <c r="AE86" s="266"/>
      <c r="AF86" s="266"/>
      <c r="AG86" s="520"/>
      <c r="AH86" s="95"/>
      <c r="AI86" s="9"/>
      <c r="AJ86" s="9"/>
      <c r="AK86" s="9"/>
      <c r="AL86" s="9"/>
      <c r="AM86" s="9"/>
      <c r="AN86" s="9"/>
      <c r="AO86" s="9"/>
      <c r="AP86" s="9"/>
    </row>
    <row r="87" spans="1:43" ht="15.75" thickBot="1">
      <c r="A87" s="521" t="s">
        <v>837</v>
      </c>
      <c r="B87" s="521"/>
      <c r="C87" s="522">
        <v>18225363</v>
      </c>
      <c r="D87" s="523"/>
      <c r="E87" s="523"/>
      <c r="F87" s="523"/>
      <c r="G87" s="523"/>
      <c r="H87" s="523"/>
      <c r="I87" s="523"/>
      <c r="J87" s="523"/>
      <c r="K87" s="523"/>
      <c r="L87" s="523"/>
      <c r="M87" s="523"/>
      <c r="N87" s="523"/>
      <c r="O87" s="523"/>
      <c r="P87" s="523"/>
      <c r="Q87" s="523"/>
      <c r="R87" s="524"/>
      <c r="S87" s="524"/>
      <c r="T87" s="524"/>
      <c r="U87" s="525">
        <f>(C71*U71+C85*U85)/(C71+C85)</f>
        <v>6.8291692299025028E-2</v>
      </c>
      <c r="V87" s="526"/>
      <c r="W87" s="526"/>
      <c r="X87" s="526"/>
      <c r="Y87" s="526"/>
      <c r="Z87" s="522">
        <f>Z85+Z71</f>
        <v>19579451.012745593</v>
      </c>
      <c r="AA87" s="522">
        <f>AA85+AA71</f>
        <v>1354088.0127455906</v>
      </c>
      <c r="AB87" s="483"/>
      <c r="AC87" s="527">
        <f>AC85+AC71</f>
        <v>17994825</v>
      </c>
      <c r="AD87" s="527">
        <f>AD85+AD71</f>
        <v>17809752</v>
      </c>
      <c r="AE87" s="527">
        <f>AE85+AE71</f>
        <v>19870563</v>
      </c>
      <c r="AF87" s="527">
        <f>AE87-C87</f>
        <v>1645200</v>
      </c>
      <c r="AG87" s="528">
        <f>AE87-AD87</f>
        <v>2060811</v>
      </c>
      <c r="AH87" s="483"/>
      <c r="AI87" s="9"/>
      <c r="AJ87" s="9"/>
      <c r="AK87" s="9"/>
      <c r="AL87" s="9"/>
      <c r="AM87" s="9"/>
      <c r="AN87" s="9"/>
      <c r="AO87" s="9"/>
      <c r="AP87" s="9"/>
    </row>
    <row r="88" spans="1:43" ht="15.75" thickTop="1">
      <c r="AA88" s="95"/>
      <c r="AB88" s="95"/>
      <c r="AC88" s="9"/>
      <c r="AD88" s="9"/>
      <c r="AE88" s="9"/>
      <c r="AF88" s="9"/>
      <c r="AG88" s="9"/>
      <c r="AH88" s="9"/>
      <c r="AI88" s="9"/>
      <c r="AJ88" s="9"/>
      <c r="AK88" s="9"/>
      <c r="AL88" s="9"/>
      <c r="AM88" s="9"/>
      <c r="AN88" s="9"/>
      <c r="AO88" s="9"/>
      <c r="AP88" s="9"/>
    </row>
    <row r="89" spans="1:43">
      <c r="A89" s="529" t="s">
        <v>838</v>
      </c>
      <c r="B89" s="116"/>
      <c r="C89" s="116"/>
      <c r="D89" s="116"/>
      <c r="E89" s="116"/>
      <c r="F89" s="116"/>
      <c r="G89" s="116"/>
      <c r="H89" s="116"/>
      <c r="I89" s="266"/>
      <c r="AC89" s="9"/>
      <c r="AD89" s="451"/>
      <c r="AE89" s="9"/>
      <c r="AF89" s="9"/>
      <c r="AG89" s="9"/>
      <c r="AH89" s="9"/>
      <c r="AI89" s="9"/>
      <c r="AJ89" s="9"/>
      <c r="AK89" s="9"/>
      <c r="AL89" s="9"/>
      <c r="AM89" s="9"/>
      <c r="AN89" s="9"/>
      <c r="AO89" s="9"/>
      <c r="AP89" s="9"/>
    </row>
    <row r="90" spans="1:43" s="116" customFormat="1" ht="75">
      <c r="B90" s="530" t="s">
        <v>839</v>
      </c>
      <c r="C90" s="530" t="s">
        <v>840</v>
      </c>
      <c r="D90" s="530" t="s">
        <v>841</v>
      </c>
      <c r="E90" s="530" t="s">
        <v>204</v>
      </c>
      <c r="F90" s="530" t="s">
        <v>842</v>
      </c>
      <c r="G90" s="530" t="s">
        <v>843</v>
      </c>
      <c r="H90" s="530" t="s">
        <v>844</v>
      </c>
      <c r="I90" s="530" t="s">
        <v>845</v>
      </c>
      <c r="J90" s="530" t="s">
        <v>846</v>
      </c>
      <c r="K90" s="530" t="s">
        <v>847</v>
      </c>
      <c r="Q90" s="531"/>
    </row>
    <row r="91" spans="1:43">
      <c r="A91" s="529" t="s">
        <v>848</v>
      </c>
      <c r="B91" s="116"/>
      <c r="C91" s="116"/>
      <c r="D91" s="116"/>
      <c r="E91" s="116"/>
      <c r="F91" s="116"/>
      <c r="G91" s="116"/>
      <c r="H91" s="116"/>
      <c r="I91" s="116"/>
      <c r="J91" s="116"/>
      <c r="K91" s="116"/>
      <c r="P91" s="352"/>
      <c r="AD91" s="405"/>
      <c r="AP91" s="405"/>
    </row>
    <row r="92" spans="1:43">
      <c r="A92" s="116" t="s">
        <v>849</v>
      </c>
      <c r="B92" s="166">
        <f>C8*(1+U8)</f>
        <v>213186.23897133672</v>
      </c>
      <c r="C92" s="166">
        <f>AE8</f>
        <v>220966</v>
      </c>
      <c r="D92" s="532">
        <f>B92-C92</f>
        <v>-7779.7610286632844</v>
      </c>
      <c r="E92" s="166">
        <f t="array" ref="E92">SUM('2019 Health appropriations'!D$5:D$84*(1-'2019 Health appropriations'!$H$5:$H$84)*'2019 Health appropriations'!$J$5:$J$84)</f>
        <v>6476</v>
      </c>
      <c r="F92" s="532">
        <f>D92+E92</f>
        <v>-1303.7610286632844</v>
      </c>
      <c r="G92" s="166">
        <f>C37*(1+U37)</f>
        <v>3596.6057861740983</v>
      </c>
      <c r="H92" s="532">
        <f>F92+G92</f>
        <v>2292.8447575108139</v>
      </c>
      <c r="I92" s="166"/>
      <c r="J92" s="532">
        <f>H92+I92</f>
        <v>2292.8447575108139</v>
      </c>
      <c r="K92" s="166">
        <f>I92+E92</f>
        <v>6476</v>
      </c>
      <c r="P92" s="352"/>
      <c r="Z92" s="405"/>
    </row>
    <row r="93" spans="1:43">
      <c r="A93" s="116"/>
      <c r="B93" s="116"/>
      <c r="C93" s="116"/>
      <c r="D93" s="116"/>
      <c r="E93" s="166"/>
      <c r="F93" s="116"/>
      <c r="G93" s="166"/>
      <c r="H93" s="116"/>
      <c r="I93" s="116"/>
      <c r="J93" s="116"/>
      <c r="K93" s="116"/>
      <c r="P93" s="352"/>
      <c r="V93" s="405"/>
      <c r="Z93" s="405"/>
      <c r="AD93" s="405"/>
      <c r="AJ93" s="405"/>
      <c r="AQ93" s="405"/>
    </row>
    <row r="94" spans="1:43">
      <c r="A94" s="529" t="s">
        <v>850</v>
      </c>
      <c r="B94" s="116"/>
      <c r="C94" s="116"/>
      <c r="D94" s="116"/>
      <c r="E94" s="166"/>
      <c r="F94" s="116"/>
      <c r="G94" s="166"/>
      <c r="H94" s="116"/>
      <c r="I94" s="116"/>
      <c r="J94" s="116"/>
      <c r="K94" s="116"/>
      <c r="P94" s="352"/>
      <c r="V94" s="405"/>
      <c r="Z94" s="405"/>
    </row>
    <row r="95" spans="1:43">
      <c r="A95" s="116" t="s">
        <v>851</v>
      </c>
      <c r="B95" s="166">
        <f>C32*(1+U32)</f>
        <v>14231768.860334864</v>
      </c>
      <c r="C95" s="166">
        <f>AE32</f>
        <v>13980266</v>
      </c>
      <c r="D95" s="532">
        <f>B95-C95</f>
        <v>251502.86033486389</v>
      </c>
      <c r="E95" s="166">
        <f>'2019 Health appropriations'!D119</f>
        <v>48000</v>
      </c>
      <c r="F95" s="532">
        <f>D95+E95</f>
        <v>299502.86033486389</v>
      </c>
      <c r="G95" s="166">
        <f>('2019 Health appropriations'!C169+'2019 Health appropriations'!C192+'2019 Health appropriations'!C215+'2019 Health appropriations'!C218)/1000</f>
        <v>5652</v>
      </c>
      <c r="H95" s="532">
        <f>F95+G95</f>
        <v>305154.86033486389</v>
      </c>
      <c r="I95" s="166">
        <f>'2019 Health appropriations'!D101</f>
        <v>-5500</v>
      </c>
      <c r="J95" s="532">
        <f>H95+I95</f>
        <v>299654.86033486389</v>
      </c>
      <c r="K95" s="166">
        <f>I95+E95</f>
        <v>42500</v>
      </c>
      <c r="P95" s="352"/>
      <c r="V95" s="405"/>
      <c r="Z95" s="405"/>
      <c r="AJ95" s="405"/>
    </row>
    <row r="96" spans="1:43">
      <c r="A96" s="116"/>
      <c r="B96" s="116"/>
      <c r="C96" s="116"/>
      <c r="D96" s="116"/>
      <c r="E96" s="166"/>
      <c r="F96" s="116"/>
      <c r="G96" s="116"/>
      <c r="H96" s="116"/>
      <c r="I96" s="166"/>
      <c r="J96" s="116"/>
      <c r="K96" s="116"/>
      <c r="P96" s="352"/>
      <c r="V96" s="405"/>
      <c r="Z96" s="405"/>
      <c r="AM96" s="405"/>
      <c r="AQ96" s="405"/>
    </row>
    <row r="97" spans="1:43">
      <c r="A97" s="529" t="s">
        <v>852</v>
      </c>
      <c r="B97" s="116"/>
      <c r="C97" s="116"/>
      <c r="D97" s="116"/>
      <c r="E97" s="116"/>
      <c r="F97" s="116"/>
      <c r="G97" s="116"/>
      <c r="H97" s="116"/>
      <c r="I97" s="166"/>
      <c r="J97" s="116"/>
      <c r="K97" s="116"/>
      <c r="P97" s="352"/>
      <c r="R97" s="405"/>
      <c r="V97" s="405"/>
      <c r="Z97" s="405"/>
      <c r="AM97" s="405"/>
      <c r="AQ97" s="405"/>
    </row>
    <row r="98" spans="1:43">
      <c r="A98" s="103" t="str">
        <f>A36</f>
        <v>Auckland Health Projects Integrated Investment Plan</v>
      </c>
      <c r="B98" s="166">
        <v>0</v>
      </c>
      <c r="C98" s="166">
        <f>AE36</f>
        <v>0</v>
      </c>
      <c r="D98" s="532">
        <f t="shared" ref="D98:D116" si="22">B98-C98</f>
        <v>0</v>
      </c>
      <c r="E98" s="166"/>
      <c r="F98" s="532">
        <f>D98+E98</f>
        <v>0</v>
      </c>
      <c r="G98" s="166"/>
      <c r="H98" s="532">
        <f>F98+G98</f>
        <v>0</v>
      </c>
      <c r="I98" s="166"/>
      <c r="J98" s="532">
        <f>H98+I98</f>
        <v>0</v>
      </c>
      <c r="K98" s="166">
        <f>I98+E98</f>
        <v>0</v>
      </c>
      <c r="L98" s="405"/>
      <c r="P98" s="352"/>
      <c r="V98" s="405"/>
      <c r="Y98" s="405"/>
      <c r="Z98" s="405"/>
      <c r="AM98" s="405"/>
      <c r="AQ98" s="405"/>
    </row>
    <row r="99" spans="1:43">
      <c r="A99" s="103" t="str">
        <f t="shared" ref="A99:A117" si="23">A37</f>
        <v>Health Sector Projects Operating Expenses</v>
      </c>
      <c r="B99" s="166">
        <f>C37*(1+U37)</f>
        <v>3596.6057861740983</v>
      </c>
      <c r="C99" s="166">
        <f>AE37</f>
        <v>0</v>
      </c>
      <c r="D99" s="532">
        <f t="shared" si="22"/>
        <v>3596.6057861740983</v>
      </c>
      <c r="E99" s="166"/>
      <c r="F99" s="532">
        <f t="shared" ref="F99:F116" si="24">D99+E99</f>
        <v>3596.6057861740983</v>
      </c>
      <c r="G99" s="166">
        <f>-C37*(1+U37)</f>
        <v>-3596.6057861740983</v>
      </c>
      <c r="H99" s="532">
        <f t="shared" ref="H99:H116" si="25">F99+G99</f>
        <v>0</v>
      </c>
      <c r="I99" s="166"/>
      <c r="J99" s="532">
        <f t="shared" ref="J99:J116" si="26">H99+I99</f>
        <v>0</v>
      </c>
      <c r="K99" s="166">
        <f t="shared" ref="K99:K116" si="27">I99+E99</f>
        <v>0</v>
      </c>
      <c r="L99" s="405"/>
      <c r="P99" s="352"/>
      <c r="V99" s="405"/>
      <c r="Y99" s="405"/>
      <c r="Z99" s="405"/>
      <c r="AM99" s="405"/>
      <c r="AQ99" s="405"/>
    </row>
    <row r="100" spans="1:43">
      <c r="A100" s="103" t="str">
        <f t="shared" si="23"/>
        <v>Health Services Funding</v>
      </c>
      <c r="B100" s="166">
        <f>C38*(1+U38)</f>
        <v>0</v>
      </c>
      <c r="C100" s="166">
        <f>AE38</f>
        <v>23681</v>
      </c>
      <c r="D100" s="532">
        <f t="shared" si="22"/>
        <v>-23681</v>
      </c>
      <c r="E100" s="166">
        <f t="array" ref="E100">SUM(IF(LEFT('2019 Health appropriations'!$B$5:$B$84,LEN($A100))=$A100,1,0)*'2019 Health appropriations'!D$5:D$84*(1-'2019 Health appropriations'!$H$5:$H$84))</f>
        <v>0</v>
      </c>
      <c r="F100" s="532">
        <f t="shared" si="24"/>
        <v>-23681</v>
      </c>
      <c r="G100" s="166"/>
      <c r="H100" s="532">
        <f t="shared" si="25"/>
        <v>-23681</v>
      </c>
      <c r="I100" s="166"/>
      <c r="J100" s="532">
        <f t="shared" si="26"/>
        <v>-23681</v>
      </c>
      <c r="K100" s="166">
        <f t="shared" si="27"/>
        <v>0</v>
      </c>
      <c r="P100" s="352"/>
    </row>
    <row r="101" spans="1:43">
      <c r="A101" s="103" t="str">
        <f t="shared" si="23"/>
        <v>Health Workforce Training and Development</v>
      </c>
      <c r="B101" s="166">
        <f t="shared" ref="B101:B117" si="28">C39*(1+U39)</f>
        <v>191899.470725452</v>
      </c>
      <c r="C101" s="166">
        <f t="shared" ref="C101:C117" si="29">AE39</f>
        <v>211641</v>
      </c>
      <c r="D101" s="532">
        <f t="shared" si="22"/>
        <v>-19741.529274547996</v>
      </c>
      <c r="E101" s="166">
        <f t="array" ref="E101">SUM(IF(LEFT('2019 Health appropriations'!$B$5:$B$84,LEN($A101))=$A101,1,0)*'2019 Health appropriations'!D$5:D$84*(1-'2019 Health appropriations'!$H$5:$H$84))</f>
        <v>13888</v>
      </c>
      <c r="F101" s="532">
        <f t="shared" si="24"/>
        <v>-5853.5292745479965</v>
      </c>
      <c r="G101" s="166"/>
      <c r="H101" s="532">
        <f t="shared" si="25"/>
        <v>-5853.5292745479965</v>
      </c>
      <c r="I101" s="166"/>
      <c r="J101" s="532">
        <f t="shared" si="26"/>
        <v>-5853.5292745479965</v>
      </c>
      <c r="K101" s="166">
        <f t="shared" si="27"/>
        <v>13888</v>
      </c>
      <c r="P101" s="352"/>
    </row>
    <row r="102" spans="1:43">
      <c r="A102" s="103" t="str">
        <f t="shared" si="23"/>
        <v>Monitoring and Protecting Health and Disability Consumer Interests</v>
      </c>
      <c r="B102" s="166">
        <f t="shared" si="28"/>
        <v>30361.518445228547</v>
      </c>
      <c r="C102" s="166">
        <f t="shared" si="29"/>
        <v>31546</v>
      </c>
      <c r="D102" s="532">
        <f t="shared" si="22"/>
        <v>-1184.4815547714534</v>
      </c>
      <c r="E102" s="166">
        <f t="array" ref="E102">SUM(IF(LEFT('2019 Health appropriations'!$B$5:$B$84,LEN($A102))=$A102,1,0)*'2019 Health appropriations'!D$5:D$84*(1-'2019 Health appropriations'!$H$5:$H$84))</f>
        <v>2000</v>
      </c>
      <c r="F102" s="532">
        <f t="shared" si="24"/>
        <v>815.51844522854663</v>
      </c>
      <c r="G102" s="166"/>
      <c r="H102" s="532">
        <f t="shared" si="25"/>
        <v>815.51844522854663</v>
      </c>
      <c r="I102" s="166"/>
      <c r="J102" s="532">
        <f t="shared" si="26"/>
        <v>815.51844522854663</v>
      </c>
      <c r="K102" s="166">
        <f t="shared" si="27"/>
        <v>2000</v>
      </c>
      <c r="P102" s="352"/>
    </row>
    <row r="103" spans="1:43">
      <c r="A103" s="103" t="str">
        <f t="shared" si="23"/>
        <v>National Child Health Services</v>
      </c>
      <c r="B103" s="166">
        <f t="shared" si="28"/>
        <v>94760.858743413206</v>
      </c>
      <c r="C103" s="166">
        <f t="shared" si="29"/>
        <v>112980</v>
      </c>
      <c r="D103" s="532">
        <f t="shared" si="22"/>
        <v>-18219.141256586794</v>
      </c>
      <c r="E103" s="166">
        <f t="array" ref="E103">SUM(IF(LEFT('2019 Health appropriations'!$B$5:$B$84,LEN($A103))=$A103,1,0)*'2019 Health appropriations'!D$5:D$84*(1-'2019 Health appropriations'!$H$5:$H$84))</f>
        <v>4976</v>
      </c>
      <c r="F103" s="532">
        <f t="shared" si="24"/>
        <v>-13243.141256586794</v>
      </c>
      <c r="G103" s="166"/>
      <c r="H103" s="532">
        <f t="shared" si="25"/>
        <v>-13243.141256586794</v>
      </c>
      <c r="I103" s="166"/>
      <c r="J103" s="532">
        <f t="shared" si="26"/>
        <v>-13243.141256586794</v>
      </c>
      <c r="K103" s="166">
        <f t="shared" si="27"/>
        <v>4976</v>
      </c>
      <c r="P103" s="352"/>
    </row>
    <row r="104" spans="1:43">
      <c r="A104" s="103" t="str">
        <f t="shared" si="23"/>
        <v>National Contracted Services - Other</v>
      </c>
      <c r="B104" s="166">
        <f t="shared" si="28"/>
        <v>30199.73670122711</v>
      </c>
      <c r="C104" s="166">
        <f t="shared" si="29"/>
        <v>23488</v>
      </c>
      <c r="D104" s="532">
        <f t="shared" si="22"/>
        <v>6711.7367012271097</v>
      </c>
      <c r="E104" s="166">
        <f t="array" ref="E104">SUM(IF(LEFT('2019 Health appropriations'!$B$5:$B$84,LEN($A104))=$A104,1,0)*'2019 Health appropriations'!D$5:D$84*(1-'2019 Health appropriations'!$H$5:$H$84))</f>
        <v>0</v>
      </c>
      <c r="F104" s="532">
        <f t="shared" si="24"/>
        <v>6711.7367012271097</v>
      </c>
      <c r="G104" s="166"/>
      <c r="H104" s="532">
        <f t="shared" si="25"/>
        <v>6711.7367012271097</v>
      </c>
      <c r="I104" s="166"/>
      <c r="J104" s="532">
        <f t="shared" si="26"/>
        <v>6711.7367012271097</v>
      </c>
      <c r="K104" s="166">
        <f t="shared" si="27"/>
        <v>0</v>
      </c>
      <c r="P104" s="352"/>
    </row>
    <row r="105" spans="1:43">
      <c r="A105" s="103" t="str">
        <f t="shared" si="23"/>
        <v>National Disability Support Services</v>
      </c>
      <c r="B105" s="166">
        <f t="shared" si="28"/>
        <v>1333955.5982157558</v>
      </c>
      <c r="C105" s="166">
        <f t="shared" si="29"/>
        <v>1344646</v>
      </c>
      <c r="D105" s="532">
        <f t="shared" si="22"/>
        <v>-10690.401784244226</v>
      </c>
      <c r="E105" s="166">
        <f t="array" ref="E105">SUM(IF(LEFT('2019 Health appropriations'!$B$5:$B$84,LEN($A105))=$A105,1,0)*'2019 Health appropriations'!D$5:D$84*(1-'2019 Health appropriations'!$H$5:$H$84))</f>
        <v>220</v>
      </c>
      <c r="F105" s="532">
        <f t="shared" si="24"/>
        <v>-10470.401784244226</v>
      </c>
      <c r="G105" s="166"/>
      <c r="H105" s="532">
        <f t="shared" si="25"/>
        <v>-10470.401784244226</v>
      </c>
      <c r="I105" s="166"/>
      <c r="J105" s="532">
        <f t="shared" si="26"/>
        <v>-10470.401784244226</v>
      </c>
      <c r="K105" s="166">
        <f t="shared" si="27"/>
        <v>220</v>
      </c>
      <c r="P105" s="352"/>
      <c r="T105" s="405"/>
    </row>
    <row r="106" spans="1:43">
      <c r="A106" s="103" t="str">
        <f t="shared" si="23"/>
        <v>National Planned Care Services [was: National Elective Services]</v>
      </c>
      <c r="B106" s="166">
        <f t="shared" si="28"/>
        <v>390873.65254119359</v>
      </c>
      <c r="C106" s="166">
        <f t="shared" si="29"/>
        <v>396085</v>
      </c>
      <c r="D106" s="532">
        <f t="shared" si="22"/>
        <v>-5211.3474588064128</v>
      </c>
      <c r="E106" s="166">
        <f t="array" ref="E106">SUM(IF(LEFT('2019 Health appropriations'!$B$5:$B$84,LEN("National Planned Care Services"))="National Planned Care Services",1,0)*'2019 Health appropriations'!D$5:D$84*(1-'2019 Health appropriations'!$H$5:$H$84))</f>
        <v>13223</v>
      </c>
      <c r="F106" s="532">
        <f t="shared" si="24"/>
        <v>8011.6525411935872</v>
      </c>
      <c r="G106" s="166"/>
      <c r="H106" s="532">
        <f t="shared" si="25"/>
        <v>8011.6525411935872</v>
      </c>
      <c r="I106" s="166"/>
      <c r="J106" s="532">
        <f t="shared" si="26"/>
        <v>8011.6525411935872</v>
      </c>
      <c r="K106" s="166">
        <f t="shared" si="27"/>
        <v>13223</v>
      </c>
      <c r="P106" s="352"/>
    </row>
    <row r="107" spans="1:43">
      <c r="A107" s="103" t="str">
        <f t="shared" si="23"/>
        <v>National Emergency Services</v>
      </c>
      <c r="B107" s="166">
        <f t="shared" si="28"/>
        <v>136274.20881855604</v>
      </c>
      <c r="C107" s="166">
        <f t="shared" si="29"/>
        <v>150319</v>
      </c>
      <c r="D107" s="532">
        <f t="shared" si="22"/>
        <v>-14044.791181443958</v>
      </c>
      <c r="E107" s="166">
        <f t="array" ref="E107">SUM(IF(LEFT('2019 Health appropriations'!$B$5:$B$84,LEN($A107))=$A107,1,0)*'2019 Health appropriations'!D$5:D$84*(1-'2019 Health appropriations'!$H$5:$H$84))</f>
        <v>0</v>
      </c>
      <c r="F107" s="532">
        <f t="shared" si="24"/>
        <v>-14044.791181443958</v>
      </c>
      <c r="G107" s="166"/>
      <c r="H107" s="532">
        <f t="shared" si="25"/>
        <v>-14044.791181443958</v>
      </c>
      <c r="I107" s="166"/>
      <c r="J107" s="532">
        <f t="shared" si="26"/>
        <v>-14044.791181443958</v>
      </c>
      <c r="K107" s="166">
        <f t="shared" si="27"/>
        <v>0</v>
      </c>
      <c r="P107" s="352"/>
    </row>
    <row r="108" spans="1:43">
      <c r="A108" s="103" t="str">
        <f t="shared" si="23"/>
        <v>National Health Information Systems</v>
      </c>
      <c r="B108" s="166">
        <f t="shared" si="28"/>
        <v>8263.9724949748852</v>
      </c>
      <c r="C108" s="166">
        <f t="shared" si="29"/>
        <v>8382</v>
      </c>
      <c r="D108" s="532">
        <f t="shared" si="22"/>
        <v>-118.02750502511481</v>
      </c>
      <c r="E108" s="166">
        <f t="array" ref="E108">SUM(IF(LEFT('2019 Health appropriations'!$B$5:$B$84,LEN($A108))=$A108,1,0)*'2019 Health appropriations'!D$5:D$84*(1-'2019 Health appropriations'!$H$5:$H$84))</f>
        <v>0</v>
      </c>
      <c r="F108" s="532">
        <f t="shared" si="24"/>
        <v>-118.02750502511481</v>
      </c>
      <c r="G108" s="166"/>
      <c r="H108" s="532">
        <f t="shared" si="25"/>
        <v>-118.02750502511481</v>
      </c>
      <c r="I108" s="166"/>
      <c r="J108" s="532">
        <f t="shared" si="26"/>
        <v>-118.02750502511481</v>
      </c>
      <c r="K108" s="166">
        <f t="shared" si="27"/>
        <v>0</v>
      </c>
    </row>
    <row r="109" spans="1:43">
      <c r="A109" s="103" t="str">
        <f t="shared" si="23"/>
        <v>National Maori Health Services</v>
      </c>
      <c r="B109" s="166">
        <f t="shared" si="28"/>
        <v>7198.2576626263462</v>
      </c>
      <c r="C109" s="166">
        <f t="shared" si="29"/>
        <v>6828</v>
      </c>
      <c r="D109" s="532">
        <f t="shared" si="22"/>
        <v>370.25766262634625</v>
      </c>
      <c r="E109" s="166">
        <f t="array" ref="E109">SUM(IF(LEFT('2019 Health appropriations'!$B$5:$B$84,LEN($A109))=$A109,1,0)*'2019 Health appropriations'!D$5:D$84*(1-'2019 Health appropriations'!$H$5:$H$84))</f>
        <v>0</v>
      </c>
      <c r="F109" s="532">
        <f t="shared" si="24"/>
        <v>370.25766262634625</v>
      </c>
      <c r="G109" s="166"/>
      <c r="H109" s="532">
        <f t="shared" si="25"/>
        <v>370.25766262634625</v>
      </c>
      <c r="I109" s="166"/>
      <c r="J109" s="532">
        <f t="shared" si="26"/>
        <v>370.25766262634625</v>
      </c>
      <c r="K109" s="166">
        <f t="shared" si="27"/>
        <v>0</v>
      </c>
    </row>
    <row r="110" spans="1:43">
      <c r="A110" s="103" t="str">
        <f t="shared" si="23"/>
        <v>National Maternity Services</v>
      </c>
      <c r="B110" s="166">
        <f t="shared" si="28"/>
        <v>193350.04689017098</v>
      </c>
      <c r="C110" s="166">
        <f t="shared" si="29"/>
        <v>188492</v>
      </c>
      <c r="D110" s="532">
        <f t="shared" si="22"/>
        <v>4858.0468901709828</v>
      </c>
      <c r="E110" s="166">
        <f t="array" ref="E110">SUM(IF(LEFT('2019 Health appropriations'!$B$5:$B$84,LEN($A110))=$A110,1,0)*'2019 Health appropriations'!D$5:D$84*(1-'2019 Health appropriations'!$H$5:$H$84))</f>
        <v>0</v>
      </c>
      <c r="F110" s="532">
        <f t="shared" si="24"/>
        <v>4858.0468901709828</v>
      </c>
      <c r="G110" s="166"/>
      <c r="H110" s="532">
        <f t="shared" si="25"/>
        <v>4858.0468901709828</v>
      </c>
      <c r="I110" s="166"/>
      <c r="J110" s="532">
        <f t="shared" si="26"/>
        <v>4858.0468901709828</v>
      </c>
      <c r="K110" s="166">
        <f t="shared" si="27"/>
        <v>0</v>
      </c>
    </row>
    <row r="111" spans="1:43">
      <c r="A111" s="103" t="str">
        <f t="shared" si="23"/>
        <v>National Mental Health Services</v>
      </c>
      <c r="B111" s="166">
        <f t="shared" si="28"/>
        <v>73116.54785716311</v>
      </c>
      <c r="C111" s="166">
        <f t="shared" si="29"/>
        <v>141296</v>
      </c>
      <c r="D111" s="532">
        <f t="shared" si="22"/>
        <v>-68179.45214283689</v>
      </c>
      <c r="E111" s="166">
        <f t="array" ref="E111">SUM(IF(LEFT('2019 Health appropriations'!$B$5:$B$84,LEN($A111))=$A111,1,0)*'2019 Health appropriations'!D$5:D$84*(1-'2019 Health appropriations'!$H$5:$H$84))+(SUM('2019 Health appropriations'!D124,'2019 Health appropriations'!D129:D130)-SUM('2019 Health appropriations'!C124,'2019 Health appropriations'!C129:C130))</f>
        <v>75900</v>
      </c>
      <c r="F111" s="532">
        <f t="shared" si="24"/>
        <v>7720.5478571631102</v>
      </c>
      <c r="G111" s="166"/>
      <c r="H111" s="532">
        <f t="shared" si="25"/>
        <v>7720.5478571631102</v>
      </c>
      <c r="I111" s="166"/>
      <c r="J111" s="532">
        <f t="shared" si="26"/>
        <v>7720.5478571631102</v>
      </c>
      <c r="K111" s="166">
        <f t="shared" si="27"/>
        <v>75900</v>
      </c>
    </row>
    <row r="112" spans="1:43">
      <c r="A112" s="103" t="str">
        <f t="shared" si="23"/>
        <v>National Personal Health Services</v>
      </c>
      <c r="B112" s="166">
        <f t="shared" si="28"/>
        <v>84568.791306575586</v>
      </c>
      <c r="C112" s="166">
        <f t="shared" si="29"/>
        <v>67005</v>
      </c>
      <c r="D112" s="532">
        <f t="shared" si="22"/>
        <v>17563.791306575586</v>
      </c>
      <c r="E112" s="166">
        <f t="array" ref="E112">SUM(IF(LEFT('2019 Health appropriations'!$B$5:$B$84,LEN($A112))=$A112,1,0)*'2019 Health appropriations'!D$5:D$84*(1-'2019 Health appropriations'!$H$5:$H$84))</f>
        <v>0</v>
      </c>
      <c r="F112" s="532">
        <f t="shared" si="24"/>
        <v>17563.791306575586</v>
      </c>
      <c r="G112" s="166">
        <f>-('2019 Health appropriations'!C169+'2019 Health appropriations'!C218)/1000</f>
        <v>-7277</v>
      </c>
      <c r="H112" s="532">
        <f t="shared" si="25"/>
        <v>10286.791306575586</v>
      </c>
      <c r="I112" s="166"/>
      <c r="J112" s="532">
        <f t="shared" si="26"/>
        <v>10286.791306575586</v>
      </c>
      <c r="K112" s="166">
        <f t="shared" si="27"/>
        <v>0</v>
      </c>
    </row>
    <row r="113" spans="1:11">
      <c r="A113" s="103" t="str">
        <f t="shared" si="23"/>
        <v>Primary Health Care Strategy</v>
      </c>
      <c r="B113" s="166">
        <f t="shared" si="28"/>
        <v>280121.48531546298</v>
      </c>
      <c r="C113" s="166">
        <f t="shared" si="29"/>
        <v>330533</v>
      </c>
      <c r="D113" s="532">
        <f t="shared" si="22"/>
        <v>-50411.514684537018</v>
      </c>
      <c r="E113" s="166">
        <f t="array" ref="E113">SUM(IF(LEFT('2019 Health appropriations'!$B$5:$B$84,LEN($A113))=$A113,1,0)*'2019 Health appropriations'!D$5:D$84*(1-'2019 Health appropriations'!$H$5:$H$84))+('2019 Health appropriations'!D116-'2019 Health appropriations'!C116)+('2019 Health appropriations'!D131-'2019 Health appropriations'!C131)+('2019 Health appropriations'!D132-'2019 Health appropriations'!C132)</f>
        <v>43034</v>
      </c>
      <c r="F113" s="532">
        <f t="shared" si="24"/>
        <v>-7377.5146845370182</v>
      </c>
      <c r="G113" s="166">
        <f>-('2019 Health appropriations'!C192+'2019 Health appropriations'!C215)/1000</f>
        <v>1625</v>
      </c>
      <c r="H113" s="532">
        <f t="shared" si="25"/>
        <v>-5752.5146845370182</v>
      </c>
      <c r="I113" s="166"/>
      <c r="J113" s="532">
        <f t="shared" si="26"/>
        <v>-5752.5146845370182</v>
      </c>
      <c r="K113" s="166">
        <f t="shared" si="27"/>
        <v>43034</v>
      </c>
    </row>
    <row r="114" spans="1:11">
      <c r="A114" s="103" t="str">
        <f t="shared" si="23"/>
        <v>Problem Gambling Services</v>
      </c>
      <c r="B114" s="166">
        <f t="shared" si="28"/>
        <v>22019.940329401008</v>
      </c>
      <c r="C114" s="166">
        <f t="shared" si="29"/>
        <v>18698</v>
      </c>
      <c r="D114" s="532">
        <f t="shared" si="22"/>
        <v>3321.9403294010081</v>
      </c>
      <c r="E114" s="166">
        <f t="array" ref="E114">SUM(IF(LEFT('2019 Health appropriations'!$B$5:$B$84,LEN($A114))=$A114,1,0)*'2019 Health appropriations'!D$5:D$84*(1-'2019 Health appropriations'!$H$5:$H$84))</f>
        <v>0</v>
      </c>
      <c r="F114" s="532">
        <f t="shared" si="24"/>
        <v>3321.9403294010081</v>
      </c>
      <c r="G114" s="166"/>
      <c r="H114" s="532">
        <f t="shared" si="25"/>
        <v>3321.9403294010081</v>
      </c>
      <c r="I114" s="166"/>
      <c r="J114" s="532">
        <f t="shared" si="26"/>
        <v>3321.9403294010081</v>
      </c>
      <c r="K114" s="166">
        <f t="shared" si="27"/>
        <v>0</v>
      </c>
    </row>
    <row r="115" spans="1:11">
      <c r="A115" s="103" t="str">
        <f t="shared" si="23"/>
        <v>Public Health Service Purchasing</v>
      </c>
      <c r="B115" s="166">
        <f t="shared" si="28"/>
        <v>458195.7478496175</v>
      </c>
      <c r="C115" s="166">
        <f t="shared" si="29"/>
        <v>440302</v>
      </c>
      <c r="D115" s="532">
        <f t="shared" si="22"/>
        <v>17893.747849617503</v>
      </c>
      <c r="E115" s="166">
        <f t="array" ref="E115">SUM(IF(LEFT('2019 Health appropriations'!$B$5:$B$84,LEN($A115))=$A115,1,0)*'2019 Health appropriations'!D$5:D$84*(1-'2019 Health appropriations'!$H$5:$H$84))</f>
        <v>17120</v>
      </c>
      <c r="F115" s="532">
        <f t="shared" si="24"/>
        <v>35013.747849617503</v>
      </c>
      <c r="G115" s="166"/>
      <c r="H115" s="532">
        <f t="shared" si="25"/>
        <v>35013.747849617503</v>
      </c>
      <c r="I115" s="166"/>
      <c r="J115" s="532">
        <f t="shared" si="26"/>
        <v>35013.747849617503</v>
      </c>
      <c r="K115" s="166">
        <f t="shared" si="27"/>
        <v>17120</v>
      </c>
    </row>
    <row r="116" spans="1:11">
      <c r="A116" s="103" t="str">
        <f t="shared" si="23"/>
        <v>Supporting Equitable Pay [was: ... for Care and Support Workers]</v>
      </c>
      <c r="B116" s="166">
        <f t="shared" si="28"/>
        <v>413636</v>
      </c>
      <c r="C116" s="166">
        <f t="shared" si="29"/>
        <v>413636</v>
      </c>
      <c r="D116" s="532">
        <f t="shared" si="22"/>
        <v>0</v>
      </c>
      <c r="E116" s="166">
        <f t="array" ref="E116">SUM(IF(LEFT('2019 Health appropriations'!$B$5:$B$84,LEN("Supporting Equitable Pay"))="Supporting Equitable Pay",1,0)*'2019 Health appropriations'!D$5:D$84*(1-'2019 Health appropriations'!$H$5:$H$84))</f>
        <v>0</v>
      </c>
      <c r="F116" s="532">
        <f t="shared" si="24"/>
        <v>0</v>
      </c>
      <c r="G116" s="166"/>
      <c r="H116" s="532">
        <f t="shared" si="25"/>
        <v>0</v>
      </c>
      <c r="I116" s="166"/>
      <c r="J116" s="532">
        <f t="shared" si="26"/>
        <v>0</v>
      </c>
      <c r="K116" s="166">
        <f t="shared" si="27"/>
        <v>0</v>
      </c>
    </row>
    <row r="117" spans="1:11">
      <c r="A117" s="103" t="str">
        <f t="shared" si="23"/>
        <v>Supporting Safe Working Conditions for Nurses</v>
      </c>
      <c r="B117" s="166">
        <f t="shared" si="28"/>
        <v>0</v>
      </c>
      <c r="C117" s="166">
        <f t="shared" si="29"/>
        <v>0</v>
      </c>
      <c r="D117" s="533"/>
      <c r="E117" s="462">
        <f t="array" ref="E117">SUM(IF(LEFT('2019 Health appropriations'!$B$5:$B$84,LEN($A117))=$A117,1,0)*'2019 Health appropriations'!D$5:D$84*(1-'2019 Health appropriations'!$H$5:$H$84))</f>
        <v>0</v>
      </c>
      <c r="F117" s="533"/>
      <c r="G117" s="462"/>
      <c r="H117" s="533"/>
      <c r="I117" s="462"/>
      <c r="J117" s="533"/>
      <c r="K117" s="462"/>
    </row>
    <row r="118" spans="1:11">
      <c r="A118" s="534" t="s">
        <v>788</v>
      </c>
      <c r="B118" s="514">
        <f>SUM(B98:B117)</f>
        <v>3752392.4396829926</v>
      </c>
      <c r="C118" s="514">
        <f t="shared" ref="C118:K118" si="30">SUM(C98:C117)</f>
        <v>3909558</v>
      </c>
      <c r="D118" s="535">
        <f t="shared" si="30"/>
        <v>-157165.56031700724</v>
      </c>
      <c r="E118" s="134">
        <f t="shared" si="30"/>
        <v>170361</v>
      </c>
      <c r="F118" s="535">
        <f t="shared" si="30"/>
        <v>13195.439682992775</v>
      </c>
      <c r="G118" s="134">
        <f t="shared" si="30"/>
        <v>-9248.6057861740992</v>
      </c>
      <c r="H118" s="535">
        <f t="shared" si="30"/>
        <v>3946.8338968186763</v>
      </c>
      <c r="I118" s="134">
        <f t="shared" si="30"/>
        <v>0</v>
      </c>
      <c r="J118" s="535">
        <f t="shared" si="30"/>
        <v>3946.8338968186763</v>
      </c>
      <c r="K118" s="535">
        <f t="shared" si="30"/>
        <v>170361</v>
      </c>
    </row>
    <row r="119" spans="1:11">
      <c r="A119" s="116"/>
      <c r="B119" s="116"/>
      <c r="C119" s="166"/>
      <c r="D119" s="166"/>
      <c r="E119" s="166"/>
      <c r="F119" s="166"/>
      <c r="G119" s="116"/>
      <c r="H119" s="116"/>
      <c r="I119" s="116"/>
      <c r="J119" s="116"/>
      <c r="K119" s="116"/>
    </row>
    <row r="120" spans="1:11">
      <c r="A120" s="529" t="s">
        <v>853</v>
      </c>
      <c r="B120" s="116"/>
      <c r="C120" s="116"/>
      <c r="D120" s="116"/>
      <c r="E120" s="166"/>
      <c r="F120" s="116"/>
      <c r="G120" s="116"/>
      <c r="H120" s="116"/>
      <c r="I120" s="116"/>
      <c r="J120" s="116"/>
      <c r="K120" s="116"/>
    </row>
    <row r="121" spans="1:11">
      <c r="A121" s="116" t="s">
        <v>824</v>
      </c>
      <c r="B121" s="166">
        <f>C69*(1+U69)</f>
        <v>28086.391053877043</v>
      </c>
      <c r="C121" s="166">
        <f>AE69</f>
        <v>46492</v>
      </c>
      <c r="D121" s="532">
        <f>B121-C121</f>
        <v>-18405.608946122957</v>
      </c>
      <c r="E121" s="166">
        <f>'2019 Health appropriations'!D69+'2019 Health appropriations'!D71+'2019 Health appropriations'!D73+'2019 Health appropriations'!D75+'2019 Health appropriations'!D76</f>
        <v>6445</v>
      </c>
      <c r="F121" s="532">
        <f>D121+E121</f>
        <v>-11960.608946122957</v>
      </c>
      <c r="G121" s="166">
        <v>0</v>
      </c>
      <c r="H121" s="532">
        <f>F121+G121</f>
        <v>-11960.608946122957</v>
      </c>
      <c r="I121" s="166">
        <v>0</v>
      </c>
      <c r="J121" s="532">
        <f>H121+I121</f>
        <v>-11960.608946122957</v>
      </c>
      <c r="K121" s="166">
        <f>I121+E121</f>
        <v>6445</v>
      </c>
    </row>
    <row r="122" spans="1:11">
      <c r="A122" s="116"/>
      <c r="B122" s="116"/>
      <c r="C122" s="116"/>
      <c r="D122" s="116"/>
      <c r="E122" s="166"/>
      <c r="F122" s="116"/>
      <c r="G122" s="166"/>
      <c r="H122" s="116"/>
      <c r="I122" s="166"/>
      <c r="J122" s="116"/>
      <c r="K122" s="116"/>
    </row>
    <row r="123" spans="1:11">
      <c r="A123" s="536" t="s">
        <v>156</v>
      </c>
      <c r="B123" s="511">
        <f t="shared" ref="B123:J123" si="31">B92+B118+B95+B121</f>
        <v>18225433.930043072</v>
      </c>
      <c r="C123" s="511">
        <f t="shared" si="31"/>
        <v>18157282</v>
      </c>
      <c r="D123" s="537">
        <f t="shared" si="31"/>
        <v>68151.930043070402</v>
      </c>
      <c r="E123" s="511">
        <f t="shared" si="31"/>
        <v>231282</v>
      </c>
      <c r="F123" s="537">
        <f t="shared" si="31"/>
        <v>299433.93004307046</v>
      </c>
      <c r="G123" s="511">
        <f t="shared" si="31"/>
        <v>-9.0949470177292824E-13</v>
      </c>
      <c r="H123" s="537">
        <f t="shared" si="31"/>
        <v>299433.93004307046</v>
      </c>
      <c r="I123" s="511">
        <f t="shared" si="31"/>
        <v>-5500</v>
      </c>
      <c r="J123" s="537">
        <f t="shared" si="31"/>
        <v>293933.93004307046</v>
      </c>
      <c r="K123" s="511">
        <f>I123+E123</f>
        <v>225782</v>
      </c>
    </row>
    <row r="124" spans="1:11">
      <c r="A124" s="116"/>
      <c r="B124" s="116"/>
      <c r="C124" s="116"/>
      <c r="D124" s="116"/>
      <c r="E124" s="116"/>
      <c r="F124" s="116"/>
      <c r="G124" s="116"/>
      <c r="H124" s="116"/>
      <c r="I124" s="116"/>
      <c r="J124" s="116"/>
      <c r="K124" s="116"/>
    </row>
    <row r="125" spans="1:11">
      <c r="A125" s="116"/>
      <c r="B125" s="116" t="s">
        <v>854</v>
      </c>
      <c r="C125" s="116"/>
      <c r="D125" s="116"/>
      <c r="E125" s="154">
        <f>E123/C71</f>
        <v>1.3627323041360289E-2</v>
      </c>
      <c r="F125" s="116"/>
      <c r="G125" s="116"/>
      <c r="H125" s="116"/>
      <c r="I125" s="116"/>
      <c r="J125" s="116"/>
      <c r="K125" s="116"/>
    </row>
    <row r="129" spans="5:5">
      <c r="E129" s="95"/>
    </row>
  </sheetData>
  <mergeCells count="3">
    <mergeCell ref="D1:AA1"/>
    <mergeCell ref="AC1:AE1"/>
    <mergeCell ref="AI6:AL6"/>
  </mergeCells>
  <pageMargins left="0.25" right="0.25" top="0.75" bottom="0.75" header="0.3" footer="0.3"/>
  <pageSetup paperSize="8" scale="34"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2"/>
  <dimension ref="A1:Z263"/>
  <sheetViews>
    <sheetView topLeftCell="E1" zoomScale="90" zoomScaleNormal="90" workbookViewId="0">
      <pane ySplit="3" topLeftCell="A4" activePane="bottomLeft" state="frozen"/>
      <selection activeCell="F115" sqref="F115"/>
      <selection pane="bottomLeft" activeCell="D108" sqref="D108"/>
    </sheetView>
  </sheetViews>
  <sheetFormatPr defaultRowHeight="15"/>
  <cols>
    <col min="1" max="1" width="89.85546875" customWidth="1"/>
    <col min="2" max="2" width="79.7109375" customWidth="1"/>
    <col min="3" max="6" width="10.7109375" customWidth="1"/>
    <col min="7" max="7" width="11.7109375" customWidth="1"/>
    <col min="8" max="8" width="14.28515625" customWidth="1"/>
    <col min="9" max="9" width="8.85546875" customWidth="1"/>
    <col min="10" max="10" width="12.28515625" customWidth="1"/>
    <col min="11" max="11" width="10.42578125" customWidth="1"/>
    <col min="12" max="12" width="47" customWidth="1"/>
    <col min="13" max="19" width="10.28515625" customWidth="1"/>
    <col min="20" max="20" width="13.140625" customWidth="1"/>
    <col min="21" max="24" width="10.28515625" customWidth="1"/>
  </cols>
  <sheetData>
    <row r="1" spans="1:26">
      <c r="A1" t="s">
        <v>855</v>
      </c>
      <c r="M1" t="s">
        <v>856</v>
      </c>
    </row>
    <row r="2" spans="1:26">
      <c r="L2" s="538"/>
      <c r="M2" s="539" t="s">
        <v>390</v>
      </c>
      <c r="N2" s="539" t="s">
        <v>394</v>
      </c>
      <c r="O2" s="539" t="s">
        <v>398</v>
      </c>
      <c r="P2" s="539" t="s">
        <v>404</v>
      </c>
      <c r="Q2" s="540" t="s">
        <v>409</v>
      </c>
      <c r="R2" s="541"/>
      <c r="S2" s="542" t="s">
        <v>415</v>
      </c>
      <c r="T2" s="543"/>
      <c r="U2" s="544"/>
      <c r="V2" s="539" t="s">
        <v>420</v>
      </c>
      <c r="W2" s="545" t="s">
        <v>426</v>
      </c>
      <c r="X2" s="545" t="s">
        <v>431</v>
      </c>
    </row>
    <row r="3" spans="1:26" ht="48" customHeight="1">
      <c r="A3" s="546" t="s">
        <v>857</v>
      </c>
      <c r="B3" s="547" t="s">
        <v>840</v>
      </c>
      <c r="C3" s="548" t="s">
        <v>858</v>
      </c>
      <c r="D3" s="548" t="s">
        <v>859</v>
      </c>
      <c r="E3" s="548" t="s">
        <v>860</v>
      </c>
      <c r="F3" s="549" t="s">
        <v>861</v>
      </c>
      <c r="G3" s="549" t="s">
        <v>862</v>
      </c>
      <c r="H3" s="550" t="s">
        <v>863</v>
      </c>
      <c r="I3" s="551" t="s">
        <v>864</v>
      </c>
      <c r="J3" s="551" t="s">
        <v>865</v>
      </c>
      <c r="L3" s="552"/>
      <c r="M3" s="553" t="s">
        <v>866</v>
      </c>
      <c r="N3" s="553" t="s">
        <v>866</v>
      </c>
      <c r="O3" s="553" t="s">
        <v>866</v>
      </c>
      <c r="P3" s="553" t="s">
        <v>866</v>
      </c>
      <c r="Q3" s="553" t="s">
        <v>867</v>
      </c>
      <c r="R3" s="553" t="s">
        <v>868</v>
      </c>
      <c r="S3" s="554" t="s">
        <v>869</v>
      </c>
      <c r="T3" s="554" t="s">
        <v>870</v>
      </c>
      <c r="U3" s="555" t="s">
        <v>871</v>
      </c>
      <c r="V3" s="553" t="s">
        <v>872</v>
      </c>
      <c r="W3" s="553" t="s">
        <v>872</v>
      </c>
      <c r="X3" s="556" t="s">
        <v>872</v>
      </c>
    </row>
    <row r="4" spans="1:26" ht="15" customHeight="1">
      <c r="A4" s="557" t="s">
        <v>873</v>
      </c>
      <c r="B4" s="558"/>
      <c r="C4" s="558"/>
      <c r="D4" s="558"/>
      <c r="E4" s="558"/>
      <c r="F4" s="559"/>
      <c r="G4" s="560"/>
      <c r="H4" s="561"/>
      <c r="I4" s="562"/>
      <c r="L4" s="563" t="s">
        <v>874</v>
      </c>
      <c r="M4" s="564"/>
      <c r="N4" s="564"/>
      <c r="O4" s="564"/>
      <c r="P4" s="564"/>
      <c r="Q4" s="564"/>
      <c r="R4" s="564"/>
      <c r="S4" s="565"/>
      <c r="T4" s="565"/>
      <c r="U4" s="565"/>
      <c r="V4" s="564"/>
      <c r="W4" s="564"/>
      <c r="X4" s="564"/>
      <c r="Z4" s="6"/>
    </row>
    <row r="5" spans="1:26" ht="15" customHeight="1">
      <c r="A5" s="566" t="s">
        <v>875</v>
      </c>
      <c r="B5" s="567" t="s">
        <v>876</v>
      </c>
      <c r="C5" s="568">
        <v>0</v>
      </c>
      <c r="D5" s="569">
        <v>569000</v>
      </c>
      <c r="E5" s="569">
        <v>569000</v>
      </c>
      <c r="F5" s="570">
        <v>569000</v>
      </c>
      <c r="G5" s="571">
        <v>569000</v>
      </c>
      <c r="H5" s="572">
        <v>1</v>
      </c>
      <c r="I5" s="573"/>
      <c r="L5" s="574" t="s">
        <v>877</v>
      </c>
      <c r="M5" s="192">
        <v>14297234</v>
      </c>
      <c r="N5" s="192">
        <v>14746556</v>
      </c>
      <c r="O5" s="192">
        <v>15228315</v>
      </c>
      <c r="P5" s="192">
        <v>16133480</v>
      </c>
      <c r="Q5" s="192">
        <v>17178784</v>
      </c>
      <c r="R5" s="192">
        <v>17129786</v>
      </c>
      <c r="S5" s="193">
        <v>194071</v>
      </c>
      <c r="T5" s="193">
        <v>17889824</v>
      </c>
      <c r="U5" s="193">
        <v>18083895</v>
      </c>
      <c r="V5" s="192">
        <v>18045678</v>
      </c>
      <c r="W5" s="192">
        <v>18186298</v>
      </c>
      <c r="X5" s="192">
        <v>18222865</v>
      </c>
    </row>
    <row r="6" spans="1:26" ht="15" customHeight="1">
      <c r="A6" s="575" t="s">
        <v>878</v>
      </c>
      <c r="B6" s="567" t="s">
        <v>876</v>
      </c>
      <c r="C6" s="569">
        <v>50252</v>
      </c>
      <c r="D6" s="569">
        <v>115394</v>
      </c>
      <c r="E6" s="569">
        <v>116826</v>
      </c>
      <c r="F6" s="570">
        <v>116826</v>
      </c>
      <c r="G6" s="571">
        <v>116826</v>
      </c>
      <c r="H6" s="572">
        <v>1</v>
      </c>
      <c r="I6" s="573">
        <v>1</v>
      </c>
      <c r="L6" s="574" t="s">
        <v>879</v>
      </c>
      <c r="M6" s="576" t="s">
        <v>880</v>
      </c>
      <c r="N6" s="576" t="s">
        <v>880</v>
      </c>
      <c r="O6" s="576" t="s">
        <v>880</v>
      </c>
      <c r="P6" s="576" t="s">
        <v>880</v>
      </c>
      <c r="Q6" s="576" t="s">
        <v>880</v>
      </c>
      <c r="R6" s="576" t="s">
        <v>880</v>
      </c>
      <c r="S6" s="577" t="s">
        <v>881</v>
      </c>
      <c r="T6" s="577" t="s">
        <v>880</v>
      </c>
      <c r="U6" s="577" t="s">
        <v>880</v>
      </c>
      <c r="V6" s="576" t="s">
        <v>880</v>
      </c>
      <c r="W6" s="576" t="s">
        <v>880</v>
      </c>
      <c r="X6" s="576" t="s">
        <v>880</v>
      </c>
    </row>
    <row r="7" spans="1:26" ht="15" customHeight="1">
      <c r="A7" s="578"/>
      <c r="B7" s="567" t="s">
        <v>882</v>
      </c>
      <c r="C7" s="569">
        <v>45694</v>
      </c>
      <c r="D7" s="568">
        <v>0</v>
      </c>
      <c r="E7" s="568">
        <v>0</v>
      </c>
      <c r="F7" s="568">
        <v>0</v>
      </c>
      <c r="G7" s="568">
        <v>0</v>
      </c>
      <c r="H7" s="572">
        <v>1</v>
      </c>
      <c r="I7" s="573"/>
      <c r="L7" s="574" t="s">
        <v>883</v>
      </c>
      <c r="M7" s="576" t="s">
        <v>880</v>
      </c>
      <c r="N7" s="576" t="s">
        <v>880</v>
      </c>
      <c r="O7" s="576" t="s">
        <v>880</v>
      </c>
      <c r="P7" s="576" t="s">
        <v>880</v>
      </c>
      <c r="Q7" s="576" t="s">
        <v>880</v>
      </c>
      <c r="R7" s="576" t="s">
        <v>880</v>
      </c>
      <c r="S7" s="577" t="s">
        <v>880</v>
      </c>
      <c r="T7" s="577" t="s">
        <v>880</v>
      </c>
      <c r="U7" s="577" t="s">
        <v>880</v>
      </c>
      <c r="V7" s="576" t="s">
        <v>880</v>
      </c>
      <c r="W7" s="576" t="s">
        <v>880</v>
      </c>
      <c r="X7" s="576" t="s">
        <v>880</v>
      </c>
    </row>
    <row r="8" spans="1:26" ht="15" customHeight="1">
      <c r="A8" s="579"/>
      <c r="B8" s="567" t="s">
        <v>884</v>
      </c>
      <c r="C8" s="569">
        <v>1200</v>
      </c>
      <c r="D8" s="568">
        <v>0</v>
      </c>
      <c r="E8" s="568">
        <v>0</v>
      </c>
      <c r="F8" s="568">
        <v>0</v>
      </c>
      <c r="G8" s="568">
        <v>0</v>
      </c>
      <c r="H8" s="572">
        <v>1</v>
      </c>
      <c r="I8" s="573"/>
      <c r="J8" s="580">
        <v>1</v>
      </c>
      <c r="L8" s="574" t="s">
        <v>885</v>
      </c>
      <c r="M8" s="192">
        <v>26480</v>
      </c>
      <c r="N8" s="192">
        <v>25307</v>
      </c>
      <c r="O8" s="192">
        <v>102469</v>
      </c>
      <c r="P8" s="192">
        <v>22196</v>
      </c>
      <c r="Q8" s="192">
        <v>41347</v>
      </c>
      <c r="R8" s="192">
        <v>26697</v>
      </c>
      <c r="S8" s="193" t="s">
        <v>880</v>
      </c>
      <c r="T8" s="193">
        <v>46492</v>
      </c>
      <c r="U8" s="193">
        <v>46492</v>
      </c>
      <c r="V8" s="192">
        <v>35230</v>
      </c>
      <c r="W8" s="192">
        <v>35722</v>
      </c>
      <c r="X8" s="192">
        <v>36372</v>
      </c>
    </row>
    <row r="9" spans="1:26" ht="15" customHeight="1">
      <c r="A9" s="566" t="s">
        <v>886</v>
      </c>
      <c r="B9" s="567" t="s">
        <v>876</v>
      </c>
      <c r="C9" s="569">
        <v>29096</v>
      </c>
      <c r="D9" s="569">
        <v>28054</v>
      </c>
      <c r="E9" s="569">
        <v>22735</v>
      </c>
      <c r="F9" s="570">
        <v>22735</v>
      </c>
      <c r="G9" s="571">
        <v>22735</v>
      </c>
      <c r="H9" s="572">
        <v>1</v>
      </c>
      <c r="I9" s="573">
        <v>1</v>
      </c>
      <c r="L9" s="574" t="s">
        <v>887</v>
      </c>
      <c r="M9" s="192">
        <v>689136</v>
      </c>
      <c r="N9" s="192">
        <v>487272</v>
      </c>
      <c r="O9" s="192">
        <v>3043698</v>
      </c>
      <c r="P9" s="192">
        <v>348501</v>
      </c>
      <c r="Q9" s="192">
        <v>748293</v>
      </c>
      <c r="R9" s="192">
        <v>628368</v>
      </c>
      <c r="S9" s="193">
        <v>16000</v>
      </c>
      <c r="T9" s="193">
        <v>1697281</v>
      </c>
      <c r="U9" s="193">
        <v>1713281</v>
      </c>
      <c r="V9" s="192">
        <v>1046633</v>
      </c>
      <c r="W9" s="192">
        <v>135021</v>
      </c>
      <c r="X9" s="192">
        <v>68850</v>
      </c>
    </row>
    <row r="10" spans="1:26" ht="15" customHeight="1">
      <c r="A10" s="566" t="s">
        <v>888</v>
      </c>
      <c r="B10" s="567" t="s">
        <v>876</v>
      </c>
      <c r="C10" s="568">
        <v>0</v>
      </c>
      <c r="D10" s="569">
        <v>10000</v>
      </c>
      <c r="E10" s="569">
        <v>10000</v>
      </c>
      <c r="F10" s="570">
        <v>10000</v>
      </c>
      <c r="G10" s="571">
        <v>10000</v>
      </c>
      <c r="H10" s="572">
        <v>1</v>
      </c>
      <c r="I10" s="573"/>
      <c r="L10" s="574" t="s">
        <v>889</v>
      </c>
      <c r="M10" s="576" t="s">
        <v>880</v>
      </c>
      <c r="N10" s="576" t="s">
        <v>880</v>
      </c>
      <c r="O10" s="576" t="s">
        <v>880</v>
      </c>
      <c r="P10" s="576" t="s">
        <v>880</v>
      </c>
      <c r="Q10" s="576" t="s">
        <v>880</v>
      </c>
      <c r="R10" s="576" t="s">
        <v>880</v>
      </c>
      <c r="S10" s="577" t="s">
        <v>880</v>
      </c>
      <c r="T10" s="577" t="s">
        <v>881</v>
      </c>
      <c r="U10" s="577" t="s">
        <v>880</v>
      </c>
      <c r="V10" s="576" t="s">
        <v>880</v>
      </c>
      <c r="W10" s="576" t="s">
        <v>880</v>
      </c>
      <c r="X10" s="576" t="s">
        <v>880</v>
      </c>
    </row>
    <row r="11" spans="1:26" ht="15" customHeight="1">
      <c r="A11" s="566" t="s">
        <v>890</v>
      </c>
      <c r="B11" s="567" t="s">
        <v>891</v>
      </c>
      <c r="C11" s="569">
        <v>3000</v>
      </c>
      <c r="D11" s="568">
        <v>0</v>
      </c>
      <c r="E11" s="568">
        <v>0</v>
      </c>
      <c r="F11" s="568">
        <v>0</v>
      </c>
      <c r="G11" s="568">
        <v>0</v>
      </c>
      <c r="H11" s="572"/>
      <c r="I11" s="573"/>
      <c r="L11" s="574" t="s">
        <v>892</v>
      </c>
      <c r="M11" s="564"/>
      <c r="N11" s="564"/>
      <c r="O11" s="564"/>
      <c r="P11" s="564"/>
      <c r="Q11" s="564"/>
      <c r="R11" s="564"/>
      <c r="S11" s="565"/>
      <c r="T11" s="565"/>
      <c r="U11" s="565"/>
      <c r="V11" s="564"/>
      <c r="W11" s="564"/>
      <c r="X11" s="564"/>
    </row>
    <row r="12" spans="1:26" ht="15" customHeight="1">
      <c r="A12" s="566" t="s">
        <v>893</v>
      </c>
      <c r="B12" s="567" t="s">
        <v>894</v>
      </c>
      <c r="C12" s="568">
        <v>0</v>
      </c>
      <c r="D12" s="569">
        <v>23681</v>
      </c>
      <c r="E12" s="569">
        <v>23681</v>
      </c>
      <c r="F12" s="570">
        <v>23681</v>
      </c>
      <c r="G12" s="571">
        <v>23681</v>
      </c>
      <c r="H12" s="572">
        <v>1</v>
      </c>
      <c r="I12" s="573"/>
      <c r="L12" s="574" t="s">
        <v>895</v>
      </c>
      <c r="M12" s="564"/>
      <c r="N12" s="564"/>
      <c r="O12" s="564"/>
      <c r="P12" s="564"/>
      <c r="Q12" s="564"/>
      <c r="R12" s="564"/>
      <c r="S12" s="565"/>
      <c r="T12" s="565"/>
      <c r="U12" s="565"/>
      <c r="V12" s="564"/>
      <c r="W12" s="564"/>
      <c r="X12" s="564"/>
    </row>
    <row r="13" spans="1:26" ht="15" customHeight="1">
      <c r="A13" s="557" t="s">
        <v>896</v>
      </c>
      <c r="B13" s="558"/>
      <c r="C13" s="581"/>
      <c r="D13" s="581"/>
      <c r="E13" s="581"/>
      <c r="F13" s="582"/>
      <c r="G13" s="583"/>
      <c r="H13" s="572"/>
      <c r="I13" s="573"/>
      <c r="L13" s="584" t="s">
        <v>877</v>
      </c>
      <c r="M13" s="192">
        <v>20878</v>
      </c>
      <c r="N13" s="192">
        <v>20705</v>
      </c>
      <c r="O13" s="192">
        <v>20521</v>
      </c>
      <c r="P13" s="192">
        <v>20586</v>
      </c>
      <c r="Q13" s="192">
        <v>26401</v>
      </c>
      <c r="R13" s="192">
        <v>24901</v>
      </c>
      <c r="S13" s="193">
        <v>26895</v>
      </c>
      <c r="T13" s="585" t="s">
        <v>880</v>
      </c>
      <c r="U13" s="193">
        <v>26895</v>
      </c>
      <c r="V13" s="192">
        <v>22391</v>
      </c>
      <c r="W13" s="192">
        <v>22191</v>
      </c>
      <c r="X13" s="192">
        <v>22241</v>
      </c>
    </row>
    <row r="14" spans="1:26" ht="15" customHeight="1">
      <c r="A14" s="575" t="s">
        <v>897</v>
      </c>
      <c r="B14" s="586" t="s">
        <v>898</v>
      </c>
      <c r="C14" s="587">
        <v>0</v>
      </c>
      <c r="D14" s="588">
        <v>29000</v>
      </c>
      <c r="E14" s="588">
        <v>76281</v>
      </c>
      <c r="F14" s="589">
        <v>108250</v>
      </c>
      <c r="G14" s="590">
        <v>150375</v>
      </c>
      <c r="H14" s="572"/>
      <c r="I14" s="573"/>
      <c r="L14" s="584" t="s">
        <v>885</v>
      </c>
      <c r="M14" s="591" t="s">
        <v>880</v>
      </c>
      <c r="N14" s="591" t="s">
        <v>880</v>
      </c>
      <c r="O14" s="591" t="s">
        <v>880</v>
      </c>
      <c r="P14" s="591" t="s">
        <v>880</v>
      </c>
      <c r="Q14" s="591" t="s">
        <v>880</v>
      </c>
      <c r="R14" s="591" t="s">
        <v>880</v>
      </c>
      <c r="S14" s="585" t="s">
        <v>880</v>
      </c>
      <c r="T14" s="585" t="s">
        <v>880</v>
      </c>
      <c r="U14" s="585" t="s">
        <v>880</v>
      </c>
      <c r="V14" s="591" t="s">
        <v>880</v>
      </c>
      <c r="W14" s="591" t="s">
        <v>880</v>
      </c>
      <c r="X14" s="591" t="s">
        <v>880</v>
      </c>
    </row>
    <row r="15" spans="1:26" ht="15" customHeight="1">
      <c r="A15" s="578"/>
      <c r="B15" s="592" t="s">
        <v>899</v>
      </c>
      <c r="C15" s="593">
        <v>0</v>
      </c>
      <c r="D15" s="594">
        <v>13888</v>
      </c>
      <c r="E15" s="594">
        <v>18186</v>
      </c>
      <c r="F15" s="595">
        <v>22330</v>
      </c>
      <c r="G15" s="596">
        <v>22664</v>
      </c>
      <c r="H15" s="572"/>
      <c r="I15" s="573"/>
      <c r="L15" s="597" t="s">
        <v>887</v>
      </c>
      <c r="M15" s="591" t="s">
        <v>880</v>
      </c>
      <c r="N15" s="591" t="s">
        <v>880</v>
      </c>
      <c r="O15" s="591" t="s">
        <v>880</v>
      </c>
      <c r="P15" s="591" t="s">
        <v>880</v>
      </c>
      <c r="Q15" s="591" t="s">
        <v>880</v>
      </c>
      <c r="R15" s="591" t="s">
        <v>880</v>
      </c>
      <c r="S15" s="585" t="s">
        <v>881</v>
      </c>
      <c r="T15" s="585" t="s">
        <v>880</v>
      </c>
      <c r="U15" s="585" t="s">
        <v>880</v>
      </c>
      <c r="V15" s="591" t="s">
        <v>880</v>
      </c>
      <c r="W15" s="591" t="s">
        <v>880</v>
      </c>
      <c r="X15" s="591" t="s">
        <v>880</v>
      </c>
    </row>
    <row r="16" spans="1:26" ht="15" customHeight="1">
      <c r="A16" s="578"/>
      <c r="B16" s="567" t="s">
        <v>884</v>
      </c>
      <c r="C16" s="568">
        <v>0</v>
      </c>
      <c r="D16" s="569">
        <v>1750</v>
      </c>
      <c r="E16" s="569">
        <v>1750</v>
      </c>
      <c r="F16" s="570">
        <v>2050</v>
      </c>
      <c r="G16" s="571">
        <v>2050</v>
      </c>
      <c r="H16" s="572"/>
      <c r="I16" s="573"/>
      <c r="J16" s="573">
        <v>1</v>
      </c>
      <c r="L16" s="598" t="s">
        <v>900</v>
      </c>
      <c r="M16" s="599">
        <v>15033728</v>
      </c>
      <c r="N16" s="599">
        <v>15279840</v>
      </c>
      <c r="O16" s="599">
        <v>18395003</v>
      </c>
      <c r="P16" s="599">
        <v>16524763</v>
      </c>
      <c r="Q16" s="599">
        <v>17994825</v>
      </c>
      <c r="R16" s="599">
        <v>17809752</v>
      </c>
      <c r="S16" s="600">
        <v>236966</v>
      </c>
      <c r="T16" s="600">
        <v>19633597</v>
      </c>
      <c r="U16" s="600">
        <v>19870563</v>
      </c>
      <c r="V16" s="599">
        <v>19149932</v>
      </c>
      <c r="W16" s="599">
        <v>18379232</v>
      </c>
      <c r="X16" s="599">
        <v>18350328</v>
      </c>
    </row>
    <row r="17" spans="1:24" ht="15" customHeight="1">
      <c r="A17" s="578"/>
      <c r="B17" s="567" t="s">
        <v>901</v>
      </c>
      <c r="C17" s="568">
        <v>0</v>
      </c>
      <c r="D17" s="569">
        <v>3000</v>
      </c>
      <c r="E17" s="601">
        <v>750</v>
      </c>
      <c r="F17" s="570">
        <v>750</v>
      </c>
      <c r="G17" s="602">
        <v>750</v>
      </c>
      <c r="H17" s="572"/>
      <c r="I17" s="573"/>
      <c r="J17">
        <v>1</v>
      </c>
      <c r="L17" s="563" t="s">
        <v>902</v>
      </c>
      <c r="M17" s="564"/>
      <c r="N17" s="564"/>
      <c r="O17" s="564"/>
      <c r="P17" s="564"/>
      <c r="Q17" s="564"/>
      <c r="R17" s="564"/>
      <c r="S17" s="565"/>
      <c r="T17" s="565"/>
      <c r="U17" s="565"/>
      <c r="V17" s="564"/>
      <c r="W17" s="564"/>
      <c r="X17" s="564"/>
    </row>
    <row r="18" spans="1:24" ht="15" customHeight="1">
      <c r="A18" s="579"/>
      <c r="B18" s="567" t="s">
        <v>903</v>
      </c>
      <c r="C18" s="568">
        <v>0</v>
      </c>
      <c r="D18" s="601">
        <v>500</v>
      </c>
      <c r="E18" s="601">
        <v>250</v>
      </c>
      <c r="F18" s="570">
        <v>250</v>
      </c>
      <c r="G18" s="602">
        <v>250</v>
      </c>
      <c r="H18" s="572"/>
      <c r="I18" s="573"/>
      <c r="J18">
        <v>1</v>
      </c>
      <c r="L18" s="574" t="s">
        <v>904</v>
      </c>
      <c r="M18" s="576" t="s">
        <v>880</v>
      </c>
      <c r="N18" s="576" t="s">
        <v>880</v>
      </c>
      <c r="O18" s="576" t="s">
        <v>880</v>
      </c>
      <c r="P18" s="576" t="s">
        <v>880</v>
      </c>
      <c r="Q18" s="576" t="s">
        <v>880</v>
      </c>
      <c r="R18" s="576" t="s">
        <v>880</v>
      </c>
      <c r="S18" s="577" t="s">
        <v>881</v>
      </c>
      <c r="T18" s="577" t="s">
        <v>880</v>
      </c>
      <c r="U18" s="577" t="s">
        <v>880</v>
      </c>
      <c r="V18" s="576" t="s">
        <v>880</v>
      </c>
      <c r="W18" s="576" t="s">
        <v>880</v>
      </c>
      <c r="X18" s="576" t="s">
        <v>880</v>
      </c>
    </row>
    <row r="19" spans="1:24" ht="15" customHeight="1">
      <c r="A19" s="566" t="s">
        <v>905</v>
      </c>
      <c r="B19" s="567" t="s">
        <v>898</v>
      </c>
      <c r="C19" s="568">
        <v>0</v>
      </c>
      <c r="D19" s="569">
        <v>10500</v>
      </c>
      <c r="E19" s="569">
        <v>10500</v>
      </c>
      <c r="F19" s="570">
        <v>10500</v>
      </c>
      <c r="G19" s="571">
        <v>10500</v>
      </c>
      <c r="H19" s="572"/>
      <c r="I19" s="573"/>
      <c r="L19" s="574" t="s">
        <v>906</v>
      </c>
      <c r="M19" s="192">
        <v>669571</v>
      </c>
      <c r="N19" s="192">
        <v>687880</v>
      </c>
      <c r="O19" s="192">
        <v>675915</v>
      </c>
      <c r="P19" s="192">
        <v>834322</v>
      </c>
      <c r="Q19" s="192">
        <v>878648</v>
      </c>
      <c r="R19" s="192">
        <v>878648</v>
      </c>
      <c r="S19" s="193" t="s">
        <v>881</v>
      </c>
      <c r="T19" s="193">
        <v>927996</v>
      </c>
      <c r="U19" s="193">
        <v>927996</v>
      </c>
      <c r="V19" s="192">
        <v>964087</v>
      </c>
      <c r="W19" s="192">
        <v>981317</v>
      </c>
      <c r="X19" s="192">
        <v>998811</v>
      </c>
    </row>
    <row r="20" spans="1:24" ht="15" customHeight="1">
      <c r="A20" s="566" t="s">
        <v>907</v>
      </c>
      <c r="B20" s="567" t="s">
        <v>898</v>
      </c>
      <c r="C20" s="568">
        <v>0</v>
      </c>
      <c r="D20" s="569">
        <v>10100</v>
      </c>
      <c r="E20" s="569">
        <v>10000</v>
      </c>
      <c r="F20" s="570">
        <v>9950</v>
      </c>
      <c r="G20" s="571">
        <v>9950</v>
      </c>
      <c r="H20" s="572"/>
      <c r="I20" s="573"/>
      <c r="L20" s="603" t="s">
        <v>908</v>
      </c>
      <c r="M20" s="192">
        <v>147800</v>
      </c>
      <c r="N20" s="192">
        <v>24648</v>
      </c>
      <c r="O20" s="192">
        <v>23133</v>
      </c>
      <c r="P20" s="192">
        <v>23719</v>
      </c>
      <c r="Q20" s="192">
        <v>27499</v>
      </c>
      <c r="R20" s="192">
        <v>27499</v>
      </c>
      <c r="S20" s="193" t="s">
        <v>881</v>
      </c>
      <c r="T20" s="193">
        <v>27499</v>
      </c>
      <c r="U20" s="193">
        <v>27499</v>
      </c>
      <c r="V20" s="192">
        <v>27499</v>
      </c>
      <c r="W20" s="192">
        <v>27499</v>
      </c>
      <c r="X20" s="192">
        <v>27499</v>
      </c>
    </row>
    <row r="21" spans="1:24" ht="15" customHeight="1">
      <c r="A21" s="566" t="s">
        <v>909</v>
      </c>
      <c r="B21" s="567" t="s">
        <v>898</v>
      </c>
      <c r="C21" s="568">
        <v>0</v>
      </c>
      <c r="D21" s="569">
        <v>5200</v>
      </c>
      <c r="E21" s="569">
        <v>5200</v>
      </c>
      <c r="F21" s="570">
        <v>5200</v>
      </c>
      <c r="G21" s="571">
        <v>5200</v>
      </c>
      <c r="H21" s="572"/>
      <c r="I21" s="573"/>
      <c r="L21" s="598" t="s">
        <v>910</v>
      </c>
      <c r="M21" s="604">
        <v>817371</v>
      </c>
      <c r="N21" s="604">
        <v>712528</v>
      </c>
      <c r="O21" s="604">
        <v>699048</v>
      </c>
      <c r="P21" s="604">
        <v>858041</v>
      </c>
      <c r="Q21" s="604">
        <v>906147</v>
      </c>
      <c r="R21" s="604">
        <v>906147</v>
      </c>
      <c r="S21" s="605" t="s">
        <v>881</v>
      </c>
      <c r="T21" s="605">
        <v>955495</v>
      </c>
      <c r="U21" s="605">
        <v>955495</v>
      </c>
      <c r="V21" s="604">
        <v>991586</v>
      </c>
      <c r="W21" s="604">
        <v>1008816</v>
      </c>
      <c r="X21" s="604">
        <v>1026310</v>
      </c>
    </row>
    <row r="22" spans="1:24" ht="15" customHeight="1">
      <c r="A22" s="566" t="s">
        <v>911</v>
      </c>
      <c r="B22" s="567" t="s">
        <v>898</v>
      </c>
      <c r="C22" s="568">
        <v>0</v>
      </c>
      <c r="D22" s="569">
        <v>2420</v>
      </c>
      <c r="E22" s="569">
        <v>3960</v>
      </c>
      <c r="F22" s="570">
        <v>5470</v>
      </c>
      <c r="G22" s="571">
        <v>7150</v>
      </c>
      <c r="H22" s="572"/>
      <c r="I22" s="573"/>
      <c r="M22" s="564"/>
      <c r="N22" s="564"/>
      <c r="O22" s="564"/>
      <c r="P22" s="564"/>
      <c r="Q22" s="564"/>
      <c r="R22" s="564"/>
      <c r="S22" s="564"/>
      <c r="T22" s="564"/>
      <c r="U22" s="564"/>
      <c r="V22" s="564"/>
      <c r="W22" s="564"/>
      <c r="X22" s="564"/>
    </row>
    <row r="23" spans="1:24" ht="15" customHeight="1">
      <c r="A23" s="566" t="s">
        <v>912</v>
      </c>
      <c r="B23" s="567" t="s">
        <v>898</v>
      </c>
      <c r="C23" s="568">
        <v>0</v>
      </c>
      <c r="D23" s="569">
        <v>1770</v>
      </c>
      <c r="E23" s="569">
        <v>3430</v>
      </c>
      <c r="F23" s="570">
        <v>4410</v>
      </c>
      <c r="G23" s="571">
        <v>5390</v>
      </c>
      <c r="H23" s="572"/>
      <c r="I23" s="573"/>
      <c r="L23" s="606" t="s">
        <v>913</v>
      </c>
      <c r="M23" s="607">
        <f>M5+M8+M13</f>
        <v>14344592</v>
      </c>
      <c r="N23" s="607">
        <f t="shared" ref="N23:X23" si="0">N5+N8+N13</f>
        <v>14792568</v>
      </c>
      <c r="O23" s="607">
        <f t="shared" si="0"/>
        <v>15351305</v>
      </c>
      <c r="P23" s="607">
        <f t="shared" si="0"/>
        <v>16176262</v>
      </c>
      <c r="Q23" s="607">
        <f t="shared" si="0"/>
        <v>17246532</v>
      </c>
      <c r="R23" s="607">
        <f t="shared" si="0"/>
        <v>17181384</v>
      </c>
      <c r="S23" s="607"/>
      <c r="T23" s="607"/>
      <c r="U23" s="607">
        <f t="shared" si="0"/>
        <v>18157282</v>
      </c>
      <c r="V23" s="607">
        <f t="shared" si="0"/>
        <v>18103299</v>
      </c>
      <c r="W23" s="607">
        <f t="shared" si="0"/>
        <v>18244211</v>
      </c>
      <c r="X23" s="607">
        <f t="shared" si="0"/>
        <v>18281478</v>
      </c>
    </row>
    <row r="24" spans="1:24" ht="15" customHeight="1">
      <c r="A24" s="566" t="s">
        <v>914</v>
      </c>
      <c r="B24" s="567" t="s">
        <v>898</v>
      </c>
      <c r="C24" s="568">
        <v>0</v>
      </c>
      <c r="D24" s="569">
        <v>2000</v>
      </c>
      <c r="E24" s="569">
        <v>3000</v>
      </c>
      <c r="F24" s="570">
        <v>4000</v>
      </c>
      <c r="G24" s="571">
        <v>5000</v>
      </c>
      <c r="H24" s="572"/>
      <c r="I24" s="573"/>
      <c r="L24" s="608"/>
      <c r="M24" s="95"/>
      <c r="S24" s="95"/>
      <c r="T24" s="95"/>
      <c r="U24" s="95"/>
      <c r="V24" s="95"/>
      <c r="W24" s="95"/>
      <c r="X24" s="95"/>
    </row>
    <row r="25" spans="1:24" ht="15" customHeight="1">
      <c r="A25" s="575" t="s">
        <v>915</v>
      </c>
      <c r="B25" s="567" t="s">
        <v>898</v>
      </c>
      <c r="C25" s="568">
        <v>0</v>
      </c>
      <c r="D25" s="601">
        <v>500</v>
      </c>
      <c r="E25" s="569">
        <v>3000</v>
      </c>
      <c r="F25" s="570">
        <v>3000</v>
      </c>
      <c r="G25" s="571">
        <v>3000</v>
      </c>
      <c r="H25" s="572"/>
      <c r="I25" s="573"/>
      <c r="L25" s="608"/>
      <c r="M25" s="609"/>
      <c r="N25" s="95"/>
      <c r="O25" s="95"/>
      <c r="P25" s="95"/>
      <c r="Q25" s="95"/>
      <c r="R25" s="95"/>
      <c r="S25" s="95"/>
      <c r="T25" s="95"/>
      <c r="U25" s="95"/>
      <c r="V25" s="95"/>
      <c r="W25" s="95"/>
      <c r="X25" s="95"/>
    </row>
    <row r="26" spans="1:24" ht="15" customHeight="1">
      <c r="A26" s="579"/>
      <c r="B26" s="567" t="s">
        <v>903</v>
      </c>
      <c r="C26" s="568">
        <v>0</v>
      </c>
      <c r="D26" s="601">
        <v>50</v>
      </c>
      <c r="E26" s="601">
        <v>100</v>
      </c>
      <c r="F26" s="570">
        <v>100</v>
      </c>
      <c r="G26" s="602">
        <v>250</v>
      </c>
      <c r="H26" s="572"/>
      <c r="I26" s="573"/>
      <c r="J26">
        <v>1</v>
      </c>
    </row>
    <row r="27" spans="1:24" ht="15" customHeight="1">
      <c r="A27" s="566" t="s">
        <v>916</v>
      </c>
      <c r="B27" s="567" t="s">
        <v>898</v>
      </c>
      <c r="C27" s="568">
        <v>0</v>
      </c>
      <c r="D27" s="569">
        <v>2000</v>
      </c>
      <c r="E27" s="569">
        <v>2000</v>
      </c>
      <c r="F27" s="570">
        <v>2000</v>
      </c>
      <c r="G27" s="571">
        <v>2000</v>
      </c>
      <c r="H27" s="572"/>
      <c r="I27" s="573"/>
      <c r="M27" s="95"/>
      <c r="N27" s="95"/>
      <c r="O27" s="95"/>
      <c r="P27" s="95"/>
      <c r="Q27" s="95"/>
      <c r="R27" s="95"/>
      <c r="S27" s="95"/>
      <c r="U27" s="95"/>
      <c r="V27" s="95"/>
      <c r="W27" s="95"/>
      <c r="X27" s="95"/>
    </row>
    <row r="28" spans="1:24" ht="15" customHeight="1">
      <c r="A28" s="566" t="s">
        <v>917</v>
      </c>
      <c r="B28" s="567" t="s">
        <v>898</v>
      </c>
      <c r="C28" s="568">
        <v>0</v>
      </c>
      <c r="D28" s="569">
        <v>1000</v>
      </c>
      <c r="E28" s="569">
        <v>2000</v>
      </c>
      <c r="F28" s="570">
        <v>2000</v>
      </c>
      <c r="G28" s="571">
        <v>2000</v>
      </c>
      <c r="H28" s="572"/>
      <c r="I28" s="573"/>
    </row>
    <row r="29" spans="1:24" ht="15" customHeight="1">
      <c r="A29" s="566" t="s">
        <v>918</v>
      </c>
      <c r="B29" s="567" t="s">
        <v>898</v>
      </c>
      <c r="C29" s="568">
        <v>0</v>
      </c>
      <c r="D29" s="569">
        <v>5480</v>
      </c>
      <c r="E29" s="568">
        <v>0</v>
      </c>
      <c r="F29" s="610">
        <v>0</v>
      </c>
      <c r="G29" s="611">
        <v>0</v>
      </c>
      <c r="H29" s="572"/>
      <c r="I29" s="573"/>
    </row>
    <row r="30" spans="1:24" ht="15" customHeight="1">
      <c r="A30" s="566" t="s">
        <v>919</v>
      </c>
      <c r="B30" s="567" t="s">
        <v>898</v>
      </c>
      <c r="C30" s="569">
        <v>0</v>
      </c>
      <c r="D30" s="569">
        <v>1000</v>
      </c>
      <c r="E30" s="569">
        <v>1000</v>
      </c>
      <c r="F30" s="569">
        <v>1000</v>
      </c>
      <c r="G30" s="569">
        <v>1000</v>
      </c>
      <c r="H30" s="572"/>
      <c r="I30" s="573"/>
    </row>
    <row r="31" spans="1:24" ht="15" customHeight="1">
      <c r="A31" s="566" t="s">
        <v>920</v>
      </c>
      <c r="B31" s="567" t="s">
        <v>898</v>
      </c>
      <c r="C31" s="569">
        <v>0</v>
      </c>
      <c r="D31" s="569">
        <v>1000</v>
      </c>
      <c r="E31" s="569">
        <v>400</v>
      </c>
      <c r="F31" s="569">
        <v>400</v>
      </c>
      <c r="G31" s="569">
        <v>400</v>
      </c>
      <c r="H31" s="572"/>
      <c r="I31" s="573"/>
    </row>
    <row r="32" spans="1:24" ht="15" customHeight="1">
      <c r="A32" s="575" t="s">
        <v>921</v>
      </c>
      <c r="B32" s="586" t="s">
        <v>922</v>
      </c>
      <c r="C32" s="569">
        <v>29405</v>
      </c>
      <c r="D32" s="569">
        <v>36636</v>
      </c>
      <c r="E32" s="569">
        <v>34468</v>
      </c>
      <c r="F32" s="569">
        <v>42787</v>
      </c>
      <c r="G32" s="569">
        <v>42787</v>
      </c>
      <c r="H32" s="572">
        <v>1</v>
      </c>
      <c r="I32" s="573">
        <v>1</v>
      </c>
    </row>
    <row r="33" spans="1:10" ht="15" customHeight="1">
      <c r="A33" s="578"/>
      <c r="B33" s="592" t="s">
        <v>884</v>
      </c>
      <c r="C33" s="569">
        <v>3200</v>
      </c>
      <c r="D33" s="569">
        <v>0</v>
      </c>
      <c r="E33" s="569">
        <v>0</v>
      </c>
      <c r="F33" s="569">
        <v>0</v>
      </c>
      <c r="G33" s="569">
        <v>0</v>
      </c>
      <c r="H33" s="572">
        <v>1</v>
      </c>
      <c r="I33" s="573"/>
      <c r="J33" s="573">
        <v>1</v>
      </c>
    </row>
    <row r="34" spans="1:10" ht="15" customHeight="1">
      <c r="A34" s="579"/>
      <c r="B34" s="567" t="s">
        <v>923</v>
      </c>
      <c r="C34" s="569">
        <v>455</v>
      </c>
      <c r="D34" s="569">
        <v>472</v>
      </c>
      <c r="E34" s="569">
        <v>0</v>
      </c>
      <c r="F34" s="569">
        <v>0</v>
      </c>
      <c r="G34" s="569">
        <v>0</v>
      </c>
      <c r="H34" s="572">
        <v>1</v>
      </c>
      <c r="I34" s="573"/>
    </row>
    <row r="35" spans="1:10" ht="15" customHeight="1">
      <c r="A35" s="575" t="s">
        <v>924</v>
      </c>
      <c r="B35" s="567" t="s">
        <v>925</v>
      </c>
      <c r="C35" s="569">
        <v>0</v>
      </c>
      <c r="D35" s="569">
        <v>4976</v>
      </c>
      <c r="E35" s="569">
        <v>4626</v>
      </c>
      <c r="F35" s="569">
        <v>4626</v>
      </c>
      <c r="G35" s="569">
        <v>4626</v>
      </c>
      <c r="H35" s="572"/>
      <c r="I35" s="573"/>
    </row>
    <row r="36" spans="1:10" ht="15" customHeight="1">
      <c r="A36" s="578"/>
      <c r="B36" s="567" t="s">
        <v>903</v>
      </c>
      <c r="C36" s="569">
        <v>0</v>
      </c>
      <c r="D36" s="569">
        <v>100</v>
      </c>
      <c r="E36" s="569">
        <v>100</v>
      </c>
      <c r="F36" s="569">
        <v>200</v>
      </c>
      <c r="G36" s="569">
        <v>100</v>
      </c>
      <c r="H36" s="572"/>
      <c r="I36" s="573"/>
      <c r="J36" s="573">
        <v>1</v>
      </c>
    </row>
    <row r="37" spans="1:10" ht="15" customHeight="1">
      <c r="A37" s="579"/>
      <c r="B37" s="567" t="s">
        <v>884</v>
      </c>
      <c r="C37" s="569">
        <v>0</v>
      </c>
      <c r="D37" s="569">
        <v>156</v>
      </c>
      <c r="E37" s="569">
        <v>45</v>
      </c>
      <c r="F37" s="569">
        <v>45</v>
      </c>
      <c r="G37" s="569">
        <v>0</v>
      </c>
      <c r="H37" s="572"/>
      <c r="I37" s="573"/>
      <c r="J37" s="573">
        <v>1</v>
      </c>
    </row>
    <row r="38" spans="1:10" ht="15" customHeight="1">
      <c r="A38" s="566" t="s">
        <v>926</v>
      </c>
      <c r="B38" s="567" t="s">
        <v>927</v>
      </c>
      <c r="C38" s="569">
        <v>0</v>
      </c>
      <c r="D38" s="569">
        <v>2000</v>
      </c>
      <c r="E38" s="569">
        <v>2000</v>
      </c>
      <c r="F38" s="569">
        <v>2000</v>
      </c>
      <c r="G38" s="569">
        <v>2000</v>
      </c>
      <c r="H38" s="572"/>
      <c r="I38" s="573"/>
    </row>
    <row r="39" spans="1:10">
      <c r="A39" s="557" t="s">
        <v>928</v>
      </c>
      <c r="B39" s="558"/>
      <c r="C39" s="569"/>
      <c r="D39" s="569"/>
      <c r="E39" s="569"/>
      <c r="F39" s="569"/>
      <c r="G39" s="569"/>
      <c r="H39" s="572"/>
      <c r="I39" s="573"/>
    </row>
    <row r="40" spans="1:10" ht="15" customHeight="1">
      <c r="A40" s="566" t="s">
        <v>929</v>
      </c>
      <c r="B40" s="567" t="s">
        <v>930</v>
      </c>
      <c r="C40" s="569">
        <v>60400</v>
      </c>
      <c r="D40" s="569">
        <v>72000</v>
      </c>
      <c r="E40" s="569">
        <v>72000</v>
      </c>
      <c r="F40" s="569">
        <v>72000</v>
      </c>
      <c r="G40" s="569">
        <v>72000</v>
      </c>
      <c r="H40" s="572">
        <v>1</v>
      </c>
      <c r="I40" s="573"/>
    </row>
    <row r="41" spans="1:10" ht="15" customHeight="1">
      <c r="A41" s="566" t="s">
        <v>931</v>
      </c>
      <c r="B41" s="567" t="s">
        <v>930</v>
      </c>
      <c r="C41" s="569">
        <v>0</v>
      </c>
      <c r="D41" s="569">
        <v>0</v>
      </c>
      <c r="E41" s="569">
        <v>39440</v>
      </c>
      <c r="F41" s="569">
        <v>39440</v>
      </c>
      <c r="G41" s="569">
        <v>39440</v>
      </c>
      <c r="H41" s="572">
        <v>1</v>
      </c>
      <c r="I41" s="573">
        <v>1</v>
      </c>
    </row>
    <row r="42" spans="1:10" ht="15" customHeight="1">
      <c r="A42" s="566" t="s">
        <v>932</v>
      </c>
      <c r="B42" s="567" t="s">
        <v>930</v>
      </c>
      <c r="C42" s="569">
        <v>0</v>
      </c>
      <c r="D42" s="569">
        <v>5756</v>
      </c>
      <c r="E42" s="569">
        <v>5756</v>
      </c>
      <c r="F42" s="569">
        <v>5756</v>
      </c>
      <c r="G42" s="569">
        <v>5756</v>
      </c>
      <c r="H42" s="572">
        <v>1</v>
      </c>
      <c r="I42" s="573">
        <v>1</v>
      </c>
    </row>
    <row r="43" spans="1:10" ht="15" customHeight="1">
      <c r="A43" s="566" t="s">
        <v>933</v>
      </c>
      <c r="B43" s="567" t="s">
        <v>930</v>
      </c>
      <c r="C43" s="569">
        <v>112</v>
      </c>
      <c r="D43" s="569">
        <v>220</v>
      </c>
      <c r="E43" s="569">
        <v>0</v>
      </c>
      <c r="F43" s="569">
        <v>0</v>
      </c>
      <c r="G43" s="569">
        <v>0</v>
      </c>
      <c r="H43" s="572"/>
      <c r="I43" s="573"/>
    </row>
    <row r="44" spans="1:10">
      <c r="A44" s="557" t="s">
        <v>934</v>
      </c>
      <c r="B44" s="558"/>
      <c r="C44" s="569"/>
      <c r="D44" s="569"/>
      <c r="E44" s="569"/>
      <c r="F44" s="569"/>
      <c r="G44" s="569"/>
      <c r="H44" s="572"/>
      <c r="I44" s="573"/>
    </row>
    <row r="45" spans="1:10" ht="15" customHeight="1">
      <c r="A45" s="566" t="s">
        <v>935</v>
      </c>
      <c r="B45" s="567" t="s">
        <v>923</v>
      </c>
      <c r="C45" s="569">
        <v>0</v>
      </c>
      <c r="D45" s="569">
        <v>6133</v>
      </c>
      <c r="E45" s="569">
        <v>6133</v>
      </c>
      <c r="F45" s="569">
        <v>6133</v>
      </c>
      <c r="G45" s="569">
        <v>6133</v>
      </c>
      <c r="H45" s="572">
        <v>1</v>
      </c>
      <c r="I45" s="573"/>
    </row>
    <row r="46" spans="1:10" ht="15" customHeight="1">
      <c r="A46" s="566" t="s">
        <v>936</v>
      </c>
      <c r="B46" s="567" t="s">
        <v>923</v>
      </c>
      <c r="C46" s="569">
        <v>0</v>
      </c>
      <c r="D46" s="569">
        <v>4563</v>
      </c>
      <c r="E46" s="569">
        <v>4563</v>
      </c>
      <c r="F46" s="569">
        <v>4563</v>
      </c>
      <c r="G46" s="569">
        <v>4563</v>
      </c>
      <c r="H46" s="572">
        <v>1</v>
      </c>
      <c r="I46" s="573"/>
    </row>
    <row r="47" spans="1:10" ht="15" customHeight="1">
      <c r="A47" s="566" t="s">
        <v>937</v>
      </c>
      <c r="B47" s="567" t="s">
        <v>925</v>
      </c>
      <c r="C47" s="569">
        <v>0</v>
      </c>
      <c r="D47" s="569">
        <v>8750</v>
      </c>
      <c r="E47" s="569">
        <v>8750</v>
      </c>
      <c r="F47" s="569">
        <v>8750</v>
      </c>
      <c r="G47" s="569">
        <v>8750</v>
      </c>
      <c r="H47" s="572">
        <v>1</v>
      </c>
      <c r="I47" s="573"/>
    </row>
    <row r="48" spans="1:10" ht="15" customHeight="1">
      <c r="A48" s="566" t="s">
        <v>938</v>
      </c>
      <c r="B48" s="567" t="s">
        <v>925</v>
      </c>
      <c r="C48" s="569">
        <v>0</v>
      </c>
      <c r="D48" s="569">
        <v>10000</v>
      </c>
      <c r="E48" s="569">
        <v>0</v>
      </c>
      <c r="F48" s="569">
        <v>0</v>
      </c>
      <c r="G48" s="569">
        <v>0</v>
      </c>
      <c r="H48" s="572">
        <v>1</v>
      </c>
      <c r="I48" s="573"/>
    </row>
    <row r="49" spans="1:10" ht="15" customHeight="1">
      <c r="A49" s="566" t="s">
        <v>938</v>
      </c>
      <c r="B49" s="567" t="s">
        <v>925</v>
      </c>
      <c r="C49" s="569">
        <v>4000</v>
      </c>
      <c r="D49" s="569">
        <v>0</v>
      </c>
      <c r="E49" s="569">
        <v>0</v>
      </c>
      <c r="F49" s="569">
        <v>0</v>
      </c>
      <c r="G49" s="569">
        <v>0</v>
      </c>
      <c r="H49" s="572">
        <v>1</v>
      </c>
      <c r="I49" s="573"/>
    </row>
    <row r="50" spans="1:10" ht="15" customHeight="1">
      <c r="A50" s="566" t="s">
        <v>939</v>
      </c>
      <c r="B50" s="567" t="s">
        <v>940</v>
      </c>
      <c r="C50" s="569">
        <v>0</v>
      </c>
      <c r="D50" s="569">
        <v>2570</v>
      </c>
      <c r="E50" s="569">
        <v>1810</v>
      </c>
      <c r="F50" s="569">
        <v>1810</v>
      </c>
      <c r="G50" s="569">
        <v>1810</v>
      </c>
      <c r="H50" s="572"/>
      <c r="I50" s="573"/>
    </row>
    <row r="51" spans="1:10" ht="15" customHeight="1">
      <c r="A51" s="566" t="s">
        <v>941</v>
      </c>
      <c r="B51" s="567" t="s">
        <v>942</v>
      </c>
      <c r="C51" s="569">
        <v>0</v>
      </c>
      <c r="D51" s="569">
        <v>7425</v>
      </c>
      <c r="E51" s="569">
        <v>7425</v>
      </c>
      <c r="F51" s="569">
        <v>7425</v>
      </c>
      <c r="G51" s="569">
        <v>7425</v>
      </c>
      <c r="H51" s="572">
        <v>1</v>
      </c>
      <c r="I51" s="573"/>
    </row>
    <row r="52" spans="1:10" ht="15" customHeight="1">
      <c r="A52" s="566" t="s">
        <v>943</v>
      </c>
      <c r="B52" s="567" t="s">
        <v>944</v>
      </c>
      <c r="C52" s="569">
        <v>0</v>
      </c>
      <c r="D52" s="569">
        <v>13430</v>
      </c>
      <c r="E52" s="569">
        <v>7570</v>
      </c>
      <c r="F52" s="569">
        <v>0</v>
      </c>
      <c r="G52" s="569">
        <v>0</v>
      </c>
      <c r="H52" s="572">
        <v>1</v>
      </c>
      <c r="I52" s="573"/>
    </row>
    <row r="53" spans="1:10" ht="15" customHeight="1">
      <c r="A53" s="566" t="s">
        <v>945</v>
      </c>
      <c r="B53" s="567" t="s">
        <v>944</v>
      </c>
      <c r="C53" s="569">
        <v>0</v>
      </c>
      <c r="D53" s="569">
        <v>4301</v>
      </c>
      <c r="E53" s="569">
        <v>4301</v>
      </c>
      <c r="F53" s="569">
        <v>4301</v>
      </c>
      <c r="G53" s="569">
        <v>4301</v>
      </c>
      <c r="H53" s="572">
        <v>1</v>
      </c>
      <c r="I53" s="573"/>
    </row>
    <row r="54" spans="1:10" ht="15" customHeight="1">
      <c r="A54" s="566" t="s">
        <v>946</v>
      </c>
      <c r="B54" s="567" t="s">
        <v>947</v>
      </c>
      <c r="C54" s="569">
        <v>0</v>
      </c>
      <c r="D54" s="569">
        <v>16700</v>
      </c>
      <c r="E54" s="569">
        <v>16700</v>
      </c>
      <c r="F54" s="569">
        <v>16700</v>
      </c>
      <c r="G54" s="569">
        <v>16700</v>
      </c>
      <c r="H54" s="572">
        <v>1</v>
      </c>
      <c r="I54" s="573"/>
    </row>
    <row r="55" spans="1:10" ht="15" customHeight="1">
      <c r="A55" s="566" t="s">
        <v>948</v>
      </c>
      <c r="B55" s="567" t="s">
        <v>947</v>
      </c>
      <c r="C55" s="569">
        <v>0</v>
      </c>
      <c r="D55" s="569">
        <v>12000</v>
      </c>
      <c r="E55" s="569">
        <v>12000</v>
      </c>
      <c r="F55" s="569">
        <v>12000</v>
      </c>
      <c r="G55" s="569">
        <v>12000</v>
      </c>
      <c r="H55" s="572"/>
      <c r="I55" s="573"/>
    </row>
    <row r="56" spans="1:10" ht="15" customHeight="1">
      <c r="A56" s="566" t="s">
        <v>949</v>
      </c>
      <c r="B56" s="567" t="s">
        <v>947</v>
      </c>
      <c r="C56" s="569">
        <v>0</v>
      </c>
      <c r="D56" s="569">
        <v>748</v>
      </c>
      <c r="E56" s="569">
        <v>748</v>
      </c>
      <c r="F56" s="569">
        <v>748</v>
      </c>
      <c r="G56" s="569">
        <v>748</v>
      </c>
      <c r="H56" s="572"/>
      <c r="I56" s="573"/>
    </row>
    <row r="57" spans="1:10" ht="15" customHeight="1">
      <c r="A57" s="566" t="s">
        <v>950</v>
      </c>
      <c r="B57" s="567" t="s">
        <v>947</v>
      </c>
      <c r="C57" s="569">
        <v>100</v>
      </c>
      <c r="D57" s="569">
        <v>475</v>
      </c>
      <c r="E57" s="569">
        <v>250</v>
      </c>
      <c r="F57" s="569">
        <v>250</v>
      </c>
      <c r="G57" s="569">
        <v>250</v>
      </c>
      <c r="H57" s="572"/>
      <c r="I57" s="573"/>
    </row>
    <row r="58" spans="1:10" ht="15" customHeight="1">
      <c r="A58" s="566" t="s">
        <v>951</v>
      </c>
      <c r="B58" s="567" t="s">
        <v>952</v>
      </c>
      <c r="C58" s="569">
        <v>0</v>
      </c>
      <c r="D58" s="569">
        <v>16800</v>
      </c>
      <c r="E58" s="569">
        <v>16800</v>
      </c>
      <c r="F58" s="569">
        <v>16800</v>
      </c>
      <c r="G58" s="569">
        <v>16800</v>
      </c>
      <c r="H58" s="572">
        <v>1</v>
      </c>
      <c r="I58" s="573"/>
    </row>
    <row r="59" spans="1:10" ht="15" customHeight="1">
      <c r="A59" s="575" t="s">
        <v>953</v>
      </c>
      <c r="B59" s="567" t="s">
        <v>954</v>
      </c>
      <c r="C59" s="569">
        <v>0</v>
      </c>
      <c r="D59" s="569">
        <v>3171</v>
      </c>
      <c r="E59" s="569">
        <v>8582</v>
      </c>
      <c r="F59" s="569">
        <v>9068</v>
      </c>
      <c r="G59" s="569">
        <v>0</v>
      </c>
      <c r="H59" s="572">
        <v>1</v>
      </c>
      <c r="I59" s="573"/>
    </row>
    <row r="60" spans="1:10" ht="15" customHeight="1">
      <c r="A60" s="579"/>
      <c r="B60" s="567" t="s">
        <v>884</v>
      </c>
      <c r="C60" s="569">
        <v>0</v>
      </c>
      <c r="D60" s="569">
        <v>260</v>
      </c>
      <c r="E60" s="569">
        <v>293</v>
      </c>
      <c r="F60" s="569">
        <v>293</v>
      </c>
      <c r="G60" s="569">
        <v>0</v>
      </c>
      <c r="H60" s="572">
        <v>1</v>
      </c>
      <c r="I60" s="573"/>
      <c r="J60" s="573">
        <v>1</v>
      </c>
    </row>
    <row r="61" spans="1:10" ht="15" customHeight="1">
      <c r="A61" s="566" t="s">
        <v>955</v>
      </c>
      <c r="B61" s="567" t="s">
        <v>940</v>
      </c>
      <c r="C61" s="569">
        <v>0</v>
      </c>
      <c r="D61" s="569">
        <v>9000</v>
      </c>
      <c r="E61" s="569">
        <v>9000</v>
      </c>
      <c r="F61" s="569">
        <v>9000</v>
      </c>
      <c r="G61" s="569">
        <v>9000</v>
      </c>
      <c r="H61" s="572"/>
      <c r="I61" s="573"/>
    </row>
    <row r="62" spans="1:10" ht="15" customHeight="1">
      <c r="A62" s="566" t="s">
        <v>956</v>
      </c>
      <c r="B62" s="567" t="s">
        <v>940</v>
      </c>
      <c r="C62" s="569">
        <v>6750</v>
      </c>
      <c r="D62" s="569">
        <v>5550</v>
      </c>
      <c r="E62" s="569">
        <v>2150</v>
      </c>
      <c r="F62" s="569">
        <v>2150</v>
      </c>
      <c r="G62" s="569">
        <v>0</v>
      </c>
      <c r="H62" s="572"/>
      <c r="I62" s="573"/>
    </row>
    <row r="63" spans="1:10" ht="15" customHeight="1">
      <c r="A63" s="575" t="s">
        <v>957</v>
      </c>
      <c r="B63" s="586" t="s">
        <v>940</v>
      </c>
      <c r="C63" s="569">
        <v>0</v>
      </c>
      <c r="D63" s="569">
        <v>524</v>
      </c>
      <c r="E63" s="569">
        <v>524</v>
      </c>
      <c r="F63" s="569">
        <v>524</v>
      </c>
      <c r="G63" s="569">
        <v>524</v>
      </c>
      <c r="H63" s="572">
        <v>1</v>
      </c>
      <c r="I63" s="573"/>
    </row>
    <row r="64" spans="1:10" ht="15" customHeight="1">
      <c r="A64" s="579"/>
      <c r="B64" s="592" t="s">
        <v>903</v>
      </c>
      <c r="C64" s="569">
        <v>0</v>
      </c>
      <c r="D64" s="569">
        <v>300</v>
      </c>
      <c r="E64" s="569">
        <v>300</v>
      </c>
      <c r="F64" s="569">
        <v>0</v>
      </c>
      <c r="G64" s="569">
        <v>0</v>
      </c>
      <c r="H64" s="572">
        <v>1</v>
      </c>
      <c r="I64" s="573"/>
      <c r="J64" s="573">
        <v>1</v>
      </c>
    </row>
    <row r="65" spans="1:10" ht="15" customHeight="1">
      <c r="A65" s="566" t="s">
        <v>958</v>
      </c>
      <c r="B65" s="567" t="s">
        <v>940</v>
      </c>
      <c r="C65" s="569">
        <v>60</v>
      </c>
      <c r="D65" s="569">
        <v>1010</v>
      </c>
      <c r="E65" s="569">
        <v>0</v>
      </c>
      <c r="F65" s="569">
        <v>0</v>
      </c>
      <c r="G65" s="569">
        <v>0</v>
      </c>
      <c r="H65" s="572">
        <v>1</v>
      </c>
      <c r="I65" s="573"/>
    </row>
    <row r="66" spans="1:10" ht="15" customHeight="1">
      <c r="A66" s="566" t="s">
        <v>959</v>
      </c>
      <c r="B66" s="567" t="s">
        <v>960</v>
      </c>
      <c r="C66" s="569">
        <v>10000</v>
      </c>
      <c r="D66" s="569"/>
      <c r="E66" s="569"/>
      <c r="F66" s="569"/>
      <c r="G66" s="569"/>
      <c r="H66" s="572">
        <v>1</v>
      </c>
      <c r="I66" s="573"/>
    </row>
    <row r="67" spans="1:10" ht="15" customHeight="1">
      <c r="A67" s="566" t="s">
        <v>961</v>
      </c>
      <c r="B67" s="567" t="s">
        <v>962</v>
      </c>
      <c r="C67" s="569">
        <v>16700</v>
      </c>
      <c r="D67" s="569">
        <v>0</v>
      </c>
      <c r="E67" s="569">
        <v>0</v>
      </c>
      <c r="F67" s="569">
        <v>0</v>
      </c>
      <c r="G67" s="569">
        <v>0</v>
      </c>
      <c r="H67" s="572">
        <v>1</v>
      </c>
      <c r="I67" s="573"/>
    </row>
    <row r="68" spans="1:10" ht="15" customHeight="1">
      <c r="A68" s="566" t="s">
        <v>963</v>
      </c>
      <c r="B68" s="567" t="s">
        <v>940</v>
      </c>
      <c r="C68" s="569">
        <v>0</v>
      </c>
      <c r="D68" s="569">
        <v>2710</v>
      </c>
      <c r="E68" s="569">
        <v>3030</v>
      </c>
      <c r="F68" s="569">
        <v>3130</v>
      </c>
      <c r="G68" s="569">
        <v>3130</v>
      </c>
      <c r="H68" s="572">
        <v>1</v>
      </c>
      <c r="I68" s="573"/>
    </row>
    <row r="69" spans="1:10" ht="15" customHeight="1">
      <c r="A69" s="612" t="s">
        <v>964</v>
      </c>
      <c r="B69" s="567" t="s">
        <v>962</v>
      </c>
      <c r="C69" s="569">
        <v>0</v>
      </c>
      <c r="D69" s="569">
        <v>2380</v>
      </c>
      <c r="E69" s="569">
        <v>2380</v>
      </c>
      <c r="F69" s="569">
        <v>2380</v>
      </c>
      <c r="G69" s="569">
        <v>2380</v>
      </c>
      <c r="H69" s="572"/>
      <c r="I69" s="573"/>
    </row>
    <row r="70" spans="1:10" ht="15" customHeight="1">
      <c r="A70" s="613"/>
      <c r="B70" s="567" t="s">
        <v>884</v>
      </c>
      <c r="C70" s="569">
        <v>0</v>
      </c>
      <c r="D70" s="569">
        <v>120</v>
      </c>
      <c r="E70" s="569">
        <v>120</v>
      </c>
      <c r="F70" s="569">
        <v>120</v>
      </c>
      <c r="G70" s="569">
        <v>120</v>
      </c>
      <c r="H70" s="572"/>
      <c r="I70" s="573"/>
      <c r="J70" s="573">
        <v>1</v>
      </c>
    </row>
    <row r="71" spans="1:10" ht="15" customHeight="1">
      <c r="A71" s="612" t="s">
        <v>965</v>
      </c>
      <c r="B71" s="567" t="s">
        <v>962</v>
      </c>
      <c r="C71" s="569">
        <v>0</v>
      </c>
      <c r="D71" s="569">
        <v>500</v>
      </c>
      <c r="E71" s="569">
        <v>1473</v>
      </c>
      <c r="F71" s="569">
        <v>1500</v>
      </c>
      <c r="G71" s="569">
        <v>2000</v>
      </c>
      <c r="H71" s="572"/>
      <c r="I71" s="573"/>
    </row>
    <row r="72" spans="1:10" ht="15" customHeight="1">
      <c r="A72" s="613"/>
      <c r="B72" s="567" t="s">
        <v>884</v>
      </c>
      <c r="C72" s="569"/>
      <c r="D72" s="569">
        <v>400</v>
      </c>
      <c r="E72" s="569">
        <v>463</v>
      </c>
      <c r="F72" s="569">
        <v>1464</v>
      </c>
      <c r="G72" s="569">
        <v>1968</v>
      </c>
      <c r="H72" s="572"/>
      <c r="I72" s="573"/>
      <c r="J72" s="573">
        <v>1</v>
      </c>
    </row>
    <row r="73" spans="1:10" ht="15" customHeight="1">
      <c r="A73" s="612" t="s">
        <v>966</v>
      </c>
      <c r="B73" s="567" t="s">
        <v>962</v>
      </c>
      <c r="C73" s="569">
        <v>0</v>
      </c>
      <c r="D73" s="569">
        <v>315</v>
      </c>
      <c r="E73" s="569">
        <v>780</v>
      </c>
      <c r="F73" s="569">
        <v>1245</v>
      </c>
      <c r="G73" s="569">
        <v>1395</v>
      </c>
      <c r="H73" s="572"/>
      <c r="I73" s="573"/>
    </row>
    <row r="74" spans="1:10" ht="15" customHeight="1">
      <c r="A74" s="613"/>
      <c r="B74" s="567" t="s">
        <v>884</v>
      </c>
      <c r="C74" s="569">
        <v>0</v>
      </c>
      <c r="D74" s="569">
        <v>150</v>
      </c>
      <c r="E74" s="569">
        <v>150</v>
      </c>
      <c r="F74" s="569">
        <v>150</v>
      </c>
      <c r="G74" s="569">
        <v>150</v>
      </c>
      <c r="H74" s="572"/>
      <c r="I74" s="573"/>
      <c r="J74" s="573">
        <v>1</v>
      </c>
    </row>
    <row r="75" spans="1:10" ht="15" customHeight="1">
      <c r="A75" s="566" t="s">
        <v>967</v>
      </c>
      <c r="B75" s="567" t="s">
        <v>962</v>
      </c>
      <c r="C75" s="569">
        <v>0</v>
      </c>
      <c r="D75" s="569">
        <v>2500</v>
      </c>
      <c r="E75" s="569">
        <v>2500</v>
      </c>
      <c r="F75" s="569">
        <v>2500</v>
      </c>
      <c r="G75" s="569">
        <v>2500</v>
      </c>
      <c r="H75" s="572"/>
      <c r="I75" s="573"/>
    </row>
    <row r="76" spans="1:10" ht="15" customHeight="1">
      <c r="A76" s="612" t="s">
        <v>968</v>
      </c>
      <c r="B76" s="567" t="s">
        <v>962</v>
      </c>
      <c r="C76" s="569">
        <v>0</v>
      </c>
      <c r="D76" s="569">
        <v>750</v>
      </c>
      <c r="E76" s="569">
        <v>750</v>
      </c>
      <c r="F76" s="569">
        <v>750</v>
      </c>
      <c r="G76" s="569">
        <v>750</v>
      </c>
      <c r="H76" s="572"/>
      <c r="I76" s="573"/>
    </row>
    <row r="77" spans="1:10" ht="15" customHeight="1">
      <c r="A77" s="613"/>
      <c r="B77" s="567" t="s">
        <v>903</v>
      </c>
      <c r="C77" s="569">
        <v>0</v>
      </c>
      <c r="D77" s="569">
        <v>250</v>
      </c>
      <c r="E77" s="569">
        <v>250</v>
      </c>
      <c r="F77" s="569">
        <v>250</v>
      </c>
      <c r="G77" s="569">
        <v>250</v>
      </c>
      <c r="H77" s="572"/>
      <c r="I77" s="573"/>
      <c r="J77" s="573">
        <v>1</v>
      </c>
    </row>
    <row r="78" spans="1:10" ht="15" customHeight="1">
      <c r="A78" s="566" t="s">
        <v>969</v>
      </c>
      <c r="B78" s="567" t="s">
        <v>884</v>
      </c>
      <c r="C78" s="569">
        <v>0</v>
      </c>
      <c r="D78" s="569">
        <v>150</v>
      </c>
      <c r="E78" s="569">
        <v>0</v>
      </c>
      <c r="F78" s="569">
        <v>0</v>
      </c>
      <c r="G78" s="569">
        <v>0</v>
      </c>
      <c r="H78" s="572">
        <v>1</v>
      </c>
      <c r="I78" s="573"/>
      <c r="J78" s="573">
        <v>1</v>
      </c>
    </row>
    <row r="79" spans="1:10" ht="15" customHeight="1">
      <c r="A79" s="566" t="s">
        <v>970</v>
      </c>
      <c r="B79" s="567" t="s">
        <v>971</v>
      </c>
      <c r="C79" s="569">
        <v>582</v>
      </c>
      <c r="D79" s="569">
        <v>535</v>
      </c>
      <c r="E79" s="569">
        <v>0</v>
      </c>
      <c r="F79" s="569">
        <v>0</v>
      </c>
      <c r="G79" s="569">
        <v>0</v>
      </c>
      <c r="H79" s="572">
        <v>1</v>
      </c>
      <c r="I79" s="573"/>
      <c r="J79" s="573">
        <v>1</v>
      </c>
    </row>
    <row r="80" spans="1:10" ht="15" customHeight="1">
      <c r="A80" s="566" t="s">
        <v>972</v>
      </c>
      <c r="B80" s="567" t="s">
        <v>973</v>
      </c>
      <c r="C80" s="569">
        <v>0</v>
      </c>
      <c r="D80" s="569">
        <v>3000</v>
      </c>
      <c r="E80" s="569">
        <v>4500</v>
      </c>
      <c r="F80" s="569">
        <v>5500</v>
      </c>
      <c r="G80" s="569">
        <v>7000</v>
      </c>
      <c r="H80" s="572">
        <v>1</v>
      </c>
      <c r="I80" s="573"/>
      <c r="J80" s="573">
        <v>1</v>
      </c>
    </row>
    <row r="81" spans="1:10" ht="15" customHeight="1">
      <c r="A81" s="612" t="s">
        <v>974</v>
      </c>
      <c r="B81" s="567" t="s">
        <v>973</v>
      </c>
      <c r="C81" s="569">
        <v>0</v>
      </c>
      <c r="D81" s="569">
        <v>600</v>
      </c>
      <c r="E81" s="569">
        <v>600</v>
      </c>
      <c r="F81" s="569">
        <v>600</v>
      </c>
      <c r="G81" s="569">
        <v>600</v>
      </c>
      <c r="H81" s="572">
        <v>1</v>
      </c>
      <c r="I81" s="573"/>
      <c r="J81" s="573">
        <v>1</v>
      </c>
    </row>
    <row r="82" spans="1:10" ht="15" customHeight="1">
      <c r="A82" s="613"/>
      <c r="B82" s="567" t="s">
        <v>903</v>
      </c>
      <c r="C82" s="569">
        <v>0</v>
      </c>
      <c r="D82" s="569">
        <v>400</v>
      </c>
      <c r="E82" s="569">
        <v>400</v>
      </c>
      <c r="F82" s="569">
        <v>400</v>
      </c>
      <c r="G82" s="569">
        <v>400</v>
      </c>
      <c r="H82" s="572">
        <v>1</v>
      </c>
      <c r="I82" s="573"/>
      <c r="J82" s="573">
        <v>1</v>
      </c>
    </row>
    <row r="83" spans="1:10" ht="15" customHeight="1">
      <c r="A83" s="566" t="s">
        <v>975</v>
      </c>
      <c r="B83" s="567" t="s">
        <v>976</v>
      </c>
      <c r="C83" s="569">
        <v>5260</v>
      </c>
      <c r="D83" s="569">
        <v>4304</v>
      </c>
      <c r="E83" s="569">
        <v>0</v>
      </c>
      <c r="F83" s="569">
        <v>0</v>
      </c>
      <c r="G83" s="569">
        <v>0</v>
      </c>
      <c r="H83" s="572">
        <v>1</v>
      </c>
      <c r="I83" s="573"/>
      <c r="J83" s="573">
        <v>1</v>
      </c>
    </row>
    <row r="84" spans="1:10" ht="15" customHeight="1">
      <c r="A84" s="566" t="s">
        <v>977</v>
      </c>
      <c r="B84" s="567" t="s">
        <v>903</v>
      </c>
      <c r="C84" s="569">
        <v>150</v>
      </c>
      <c r="D84" s="569">
        <v>0</v>
      </c>
      <c r="E84" s="569">
        <v>0</v>
      </c>
      <c r="F84" s="569">
        <v>0</v>
      </c>
      <c r="G84" s="569">
        <v>0</v>
      </c>
      <c r="H84" s="572">
        <v>1</v>
      </c>
      <c r="I84" s="573"/>
      <c r="J84" s="573">
        <v>1</v>
      </c>
    </row>
    <row r="85" spans="1:10" ht="15" customHeight="1">
      <c r="A85" s="614" t="s">
        <v>978</v>
      </c>
      <c r="B85" s="615"/>
      <c r="C85" s="616">
        <v>266416</v>
      </c>
      <c r="D85" s="616">
        <v>1102377</v>
      </c>
      <c r="E85" s="616">
        <v>1167779</v>
      </c>
      <c r="F85" s="617">
        <v>1211260</v>
      </c>
      <c r="G85" s="618">
        <v>1248527</v>
      </c>
      <c r="H85" s="572"/>
      <c r="I85" s="573"/>
    </row>
    <row r="86" spans="1:10" ht="15" customHeight="1">
      <c r="A86" s="566" t="s">
        <v>979</v>
      </c>
      <c r="B86" s="567" t="s">
        <v>980</v>
      </c>
      <c r="C86" s="569">
        <v>0</v>
      </c>
      <c r="D86" s="569">
        <v>850000</v>
      </c>
      <c r="E86" s="569">
        <v>850000</v>
      </c>
      <c r="F86" s="569">
        <v>0</v>
      </c>
      <c r="G86" s="569">
        <v>0</v>
      </c>
      <c r="H86" s="572"/>
      <c r="I86" s="573"/>
    </row>
    <row r="87" spans="1:10" ht="15" customHeight="1">
      <c r="A87" s="566" t="s">
        <v>981</v>
      </c>
      <c r="B87" s="567" t="s">
        <v>982</v>
      </c>
      <c r="C87" s="569">
        <v>95000</v>
      </c>
      <c r="D87" s="569">
        <v>95000</v>
      </c>
      <c r="E87" s="569">
        <v>0</v>
      </c>
      <c r="F87" s="569">
        <v>0</v>
      </c>
      <c r="G87" s="569">
        <v>0</v>
      </c>
      <c r="H87" s="572">
        <v>1</v>
      </c>
      <c r="I87" s="573"/>
    </row>
    <row r="88" spans="1:10" ht="15" customHeight="1">
      <c r="A88" s="566" t="s">
        <v>983</v>
      </c>
      <c r="B88" s="567" t="s">
        <v>984</v>
      </c>
      <c r="C88" s="569">
        <v>9600</v>
      </c>
      <c r="D88" s="569">
        <v>10600</v>
      </c>
      <c r="E88" s="569">
        <v>0</v>
      </c>
      <c r="F88" s="569">
        <v>0</v>
      </c>
      <c r="G88" s="569">
        <v>0</v>
      </c>
      <c r="H88" s="572"/>
      <c r="I88" s="573"/>
    </row>
    <row r="89" spans="1:10">
      <c r="A89" s="614" t="s">
        <v>836</v>
      </c>
      <c r="B89" s="558"/>
      <c r="C89" s="569">
        <v>104600</v>
      </c>
      <c r="D89" s="569">
        <v>955600</v>
      </c>
      <c r="E89" s="569">
        <v>850000</v>
      </c>
      <c r="F89" s="569">
        <v>0</v>
      </c>
      <c r="G89" s="569">
        <v>0</v>
      </c>
      <c r="H89" s="572"/>
      <c r="I89" s="573"/>
    </row>
    <row r="90" spans="1:10">
      <c r="A90" s="566" t="s">
        <v>985</v>
      </c>
      <c r="B90" s="567" t="s">
        <v>986</v>
      </c>
      <c r="C90" s="569">
        <v>10092</v>
      </c>
      <c r="D90" s="569">
        <v>3144</v>
      </c>
      <c r="E90" s="569">
        <v>733</v>
      </c>
      <c r="F90" s="569">
        <v>0</v>
      </c>
      <c r="G90" s="569">
        <v>0</v>
      </c>
      <c r="H90" s="572"/>
      <c r="I90" s="573"/>
    </row>
    <row r="91" spans="1:10">
      <c r="A91" s="557" t="s">
        <v>156</v>
      </c>
      <c r="B91" s="558"/>
      <c r="C91" s="619">
        <v>381108</v>
      </c>
      <c r="D91" s="619">
        <v>2061121</v>
      </c>
      <c r="E91" s="619">
        <v>2018512</v>
      </c>
      <c r="F91" s="620">
        <v>1211260</v>
      </c>
      <c r="G91" s="621">
        <v>1248527</v>
      </c>
      <c r="H91" s="572"/>
      <c r="I91" s="562"/>
    </row>
    <row r="92" spans="1:10">
      <c r="A92" s="622"/>
      <c r="B92" s="623"/>
      <c r="C92" s="624"/>
      <c r="D92" s="624"/>
      <c r="E92" s="624"/>
      <c r="F92" s="624"/>
      <c r="G92" s="624"/>
      <c r="H92" s="116"/>
      <c r="I92" s="562"/>
    </row>
    <row r="93" spans="1:10">
      <c r="A93" s="622"/>
      <c r="B93" s="623" t="s">
        <v>987</v>
      </c>
      <c r="C93" s="624"/>
      <c r="D93" s="576"/>
      <c r="E93" s="576"/>
      <c r="F93" s="576"/>
      <c r="G93" s="576"/>
      <c r="H93" s="116"/>
      <c r="I93" s="562"/>
    </row>
    <row r="94" spans="1:10">
      <c r="A94" s="622"/>
      <c r="B94" s="625" t="s">
        <v>988</v>
      </c>
      <c r="C94" s="626"/>
      <c r="D94" s="627">
        <f t="array" ref="D94">SUM(D$5:D$84*$H$5:$H$84)</f>
        <v>966059</v>
      </c>
      <c r="E94" s="627">
        <f t="array" ref="E94">SUM(E$5:E$84*$H$5:$H$84)</f>
        <v>984377</v>
      </c>
      <c r="F94" s="627">
        <f t="array" ref="F94">SUM(F$5:F$84*$H$5:$H$84)</f>
        <v>986412</v>
      </c>
      <c r="G94" s="628">
        <f t="array" ref="G94">SUM(G$5:G$84*$H$5:$H$84)</f>
        <v>978551</v>
      </c>
      <c r="H94" s="116"/>
      <c r="I94" s="562"/>
    </row>
    <row r="95" spans="1:10">
      <c r="A95" s="622"/>
      <c r="B95" s="629" t="s">
        <v>989</v>
      </c>
      <c r="C95" s="630"/>
      <c r="D95" s="631">
        <f>D85-D94</f>
        <v>136318</v>
      </c>
      <c r="E95" s="632">
        <f>E85-E94</f>
        <v>183402</v>
      </c>
      <c r="F95" s="632">
        <f>F85-F94</f>
        <v>224848</v>
      </c>
      <c r="G95" s="633">
        <f>G85-G94</f>
        <v>269976</v>
      </c>
      <c r="H95" s="116"/>
      <c r="I95" s="562"/>
    </row>
    <row r="96" spans="1:10">
      <c r="A96" s="622"/>
      <c r="B96" s="629" t="s">
        <v>845</v>
      </c>
      <c r="C96" s="630"/>
      <c r="D96" s="631">
        <v>0</v>
      </c>
      <c r="E96" s="631">
        <v>0</v>
      </c>
      <c r="F96" s="631">
        <v>0</v>
      </c>
      <c r="G96" s="634">
        <v>0</v>
      </c>
      <c r="H96" s="116"/>
      <c r="I96" s="562"/>
    </row>
    <row r="97" spans="1:9">
      <c r="A97" s="622"/>
      <c r="B97" s="629" t="s">
        <v>990</v>
      </c>
      <c r="C97" s="635"/>
      <c r="D97" s="631">
        <f>D95+D96</f>
        <v>136318</v>
      </c>
      <c r="E97" s="631">
        <f>E95+E96</f>
        <v>183402</v>
      </c>
      <c r="F97" s="631">
        <f>F95+F96</f>
        <v>224848</v>
      </c>
      <c r="G97" s="634">
        <f>G95+G96</f>
        <v>269976</v>
      </c>
      <c r="H97" s="116"/>
      <c r="I97" s="562"/>
    </row>
    <row r="98" spans="1:9">
      <c r="A98" s="622"/>
      <c r="B98" s="636" t="s">
        <v>991</v>
      </c>
      <c r="C98" s="635"/>
      <c r="D98" s="631"/>
      <c r="E98" s="631"/>
      <c r="F98" s="631"/>
      <c r="G98" s="634"/>
      <c r="H98" s="116"/>
      <c r="I98" s="562"/>
    </row>
    <row r="99" spans="1:9">
      <c r="A99" s="622"/>
      <c r="B99" s="637" t="s">
        <v>992</v>
      </c>
      <c r="C99" s="635"/>
      <c r="D99" s="631">
        <f>(D122-C122)+(D123-C123)+(D128-C128)</f>
        <v>-5000</v>
      </c>
      <c r="E99" s="631">
        <f>(E122-D122)+(E128-D128)</f>
        <v>-5000</v>
      </c>
      <c r="F99" s="631"/>
      <c r="G99" s="631"/>
      <c r="H99" s="116"/>
      <c r="I99" s="562"/>
    </row>
    <row r="100" spans="1:9">
      <c r="A100" s="622"/>
      <c r="B100" s="637" t="s">
        <v>989</v>
      </c>
      <c r="C100" s="635"/>
      <c r="D100" s="631">
        <f>(D116-C116)+(D119)+(D124-C124)+(SUM(D129:D132)-SUM(C129:C132))</f>
        <v>94964</v>
      </c>
      <c r="E100" s="631">
        <f>(E116-D116)+(E117-D117)+(E124-D124)+(SUM(E129:E132)-SUM(D129:D132))</f>
        <v>370</v>
      </c>
      <c r="F100" s="631">
        <f>(SUM(F131:F132)-SUM(E131:E132))</f>
        <v>0</v>
      </c>
      <c r="G100" s="631"/>
      <c r="H100" s="116"/>
      <c r="I100" s="562"/>
    </row>
    <row r="101" spans="1:9">
      <c r="A101" s="622"/>
      <c r="B101" s="637" t="s">
        <v>845</v>
      </c>
      <c r="C101" s="635"/>
      <c r="D101" s="631">
        <f>D144-C144</f>
        <v>-5500</v>
      </c>
      <c r="E101" s="631">
        <f>E144-D144</f>
        <v>-30500</v>
      </c>
      <c r="F101" s="631">
        <f>F144-E144</f>
        <v>0</v>
      </c>
      <c r="G101" s="631">
        <f>G144-F144</f>
        <v>0</v>
      </c>
      <c r="H101" s="116"/>
      <c r="I101" s="562"/>
    </row>
    <row r="102" spans="1:9">
      <c r="A102" s="622"/>
      <c r="B102" s="637" t="s">
        <v>990</v>
      </c>
      <c r="C102" s="635"/>
      <c r="D102" s="631">
        <f>D100+D101</f>
        <v>89464</v>
      </c>
      <c r="E102" s="631">
        <f>E100+E101</f>
        <v>-30130</v>
      </c>
      <c r="F102" s="631"/>
      <c r="G102" s="634"/>
      <c r="H102" s="116"/>
      <c r="I102" s="562"/>
    </row>
    <row r="103" spans="1:9">
      <c r="A103" s="622"/>
      <c r="B103" s="629" t="s">
        <v>993</v>
      </c>
      <c r="C103" s="635"/>
      <c r="D103" s="631">
        <f>'Health Vote 2019-20 post-Budget'!B3/1000</f>
        <v>0</v>
      </c>
      <c r="E103" s="631"/>
      <c r="F103" s="631"/>
      <c r="G103" s="634"/>
      <c r="H103" s="116"/>
      <c r="I103" s="562"/>
    </row>
    <row r="104" spans="1:9">
      <c r="A104" s="622"/>
      <c r="B104" s="629" t="s">
        <v>156</v>
      </c>
      <c r="C104" s="635"/>
      <c r="D104" s="631">
        <f>D103+D97+D102</f>
        <v>225782</v>
      </c>
      <c r="E104" s="631"/>
      <c r="F104" s="631"/>
      <c r="G104" s="634"/>
      <c r="H104" s="116"/>
      <c r="I104" s="562"/>
    </row>
    <row r="105" spans="1:9">
      <c r="A105" s="622"/>
      <c r="B105" s="629" t="s">
        <v>994</v>
      </c>
      <c r="C105" s="635"/>
      <c r="D105" s="631">
        <f>'Health Vote 2019-20 post-Budget'!AF71</f>
        <v>1185350</v>
      </c>
      <c r="E105" s="631"/>
      <c r="F105" s="631"/>
      <c r="G105" s="634"/>
      <c r="H105" s="116"/>
      <c r="I105" s="562"/>
    </row>
    <row r="106" spans="1:9">
      <c r="A106" s="622"/>
      <c r="B106" s="629" t="s">
        <v>807</v>
      </c>
      <c r="C106" s="635"/>
      <c r="D106" s="631">
        <f>D104-D105</f>
        <v>-959568</v>
      </c>
      <c r="E106" s="631"/>
      <c r="F106" s="631"/>
      <c r="G106" s="634"/>
      <c r="H106" s="116"/>
      <c r="I106" s="562"/>
    </row>
    <row r="107" spans="1:9">
      <c r="A107" s="622"/>
      <c r="B107" s="629"/>
      <c r="C107" s="635"/>
      <c r="D107" s="631"/>
      <c r="E107" s="631"/>
      <c r="F107" s="631"/>
      <c r="G107" s="634"/>
      <c r="H107" s="116"/>
      <c r="I107" s="562"/>
    </row>
    <row r="108" spans="1:9">
      <c r="A108" s="622"/>
      <c r="B108" s="638" t="s">
        <v>995</v>
      </c>
      <c r="C108" s="639"/>
      <c r="D108" s="640">
        <f t="array" ref="D108">SUM(D5:D84*$I$5:$I$84)</f>
        <v>185840</v>
      </c>
      <c r="E108" s="640">
        <f t="array" ref="E108">SUM(E5:E84*$I$5:$I$84)</f>
        <v>219225</v>
      </c>
      <c r="F108" s="640">
        <f t="array" ref="F108">SUM(F5:F84*$I$5:$I$84)</f>
        <v>227544</v>
      </c>
      <c r="G108" s="641">
        <f t="array" ref="G108">SUM(G5:G84*$I$5:$I$84)</f>
        <v>227544</v>
      </c>
      <c r="H108" s="116"/>
      <c r="I108" s="562"/>
    </row>
    <row r="109" spans="1:9">
      <c r="A109" s="642" t="s">
        <v>996</v>
      </c>
      <c r="B109" s="623"/>
      <c r="C109" s="624"/>
      <c r="D109" s="576"/>
      <c r="E109" s="576"/>
      <c r="F109" s="576"/>
      <c r="G109" s="576"/>
      <c r="H109" s="116"/>
      <c r="I109" s="562"/>
    </row>
    <row r="110" spans="1:9">
      <c r="A110" s="642" t="s">
        <v>997</v>
      </c>
      <c r="B110" s="623"/>
      <c r="C110" s="624"/>
      <c r="D110" s="576"/>
      <c r="E110" s="576"/>
      <c r="F110" s="576"/>
      <c r="G110" s="576"/>
      <c r="H110" s="116"/>
      <c r="I110" s="562"/>
    </row>
    <row r="111" spans="1:9">
      <c r="A111" s="643"/>
      <c r="B111" s="643"/>
      <c r="C111" s="644"/>
      <c r="D111" s="644"/>
      <c r="E111" s="644"/>
      <c r="F111" s="644"/>
      <c r="G111" s="644"/>
      <c r="H111" s="116"/>
      <c r="I111" s="562"/>
    </row>
    <row r="112" spans="1:9" ht="15" customHeight="1">
      <c r="A112" s="622"/>
      <c r="B112" s="645"/>
      <c r="C112" s="624"/>
      <c r="D112" s="576"/>
      <c r="E112" s="576"/>
      <c r="F112" s="576"/>
      <c r="G112" s="576"/>
      <c r="H112" s="116"/>
      <c r="I112" s="562"/>
    </row>
    <row r="113" spans="1:9" ht="15" customHeight="1">
      <c r="A113" s="622"/>
      <c r="B113" s="645"/>
      <c r="C113" s="624"/>
      <c r="D113" s="576"/>
      <c r="E113" s="576"/>
      <c r="F113" s="576"/>
      <c r="G113" s="576"/>
      <c r="H113" s="116"/>
      <c r="I113" s="562"/>
    </row>
    <row r="114" spans="1:9" ht="15" customHeight="1">
      <c r="A114" s="646" t="s">
        <v>998</v>
      </c>
      <c r="B114" s="645"/>
      <c r="C114" s="624"/>
      <c r="D114" s="576"/>
      <c r="E114" s="576"/>
      <c r="F114" s="576"/>
      <c r="G114" s="576"/>
      <c r="H114" s="116"/>
      <c r="I114" s="562"/>
    </row>
    <row r="115" spans="1:9" ht="15" customHeight="1">
      <c r="A115" s="645" t="s">
        <v>999</v>
      </c>
      <c r="B115" s="647" t="s">
        <v>1000</v>
      </c>
      <c r="C115" s="648">
        <v>1000</v>
      </c>
      <c r="D115" s="649">
        <v>0</v>
      </c>
      <c r="E115" s="649">
        <v>0</v>
      </c>
      <c r="F115" s="649">
        <v>0</v>
      </c>
      <c r="G115" s="649">
        <v>0</v>
      </c>
      <c r="H115" s="116"/>
      <c r="I115" s="562"/>
    </row>
    <row r="116" spans="1:9" ht="15" customHeight="1">
      <c r="A116" s="650" t="s">
        <v>1001</v>
      </c>
      <c r="B116" s="647" t="s">
        <v>1002</v>
      </c>
      <c r="C116" s="648">
        <v>400</v>
      </c>
      <c r="D116" s="649">
        <v>0</v>
      </c>
      <c r="E116" s="649">
        <v>0</v>
      </c>
      <c r="F116" s="649">
        <v>0</v>
      </c>
      <c r="G116" s="649">
        <v>0</v>
      </c>
      <c r="H116" s="116"/>
      <c r="I116" s="562"/>
    </row>
    <row r="117" spans="1:9" ht="15" customHeight="1">
      <c r="A117" s="643" t="s">
        <v>1003</v>
      </c>
      <c r="B117" s="643" t="s">
        <v>1004</v>
      </c>
      <c r="C117" s="644">
        <v>3500</v>
      </c>
      <c r="D117" s="649">
        <v>0</v>
      </c>
      <c r="E117" s="649"/>
      <c r="F117" s="649"/>
      <c r="G117" s="649"/>
      <c r="H117" s="116"/>
      <c r="I117" s="562"/>
    </row>
    <row r="118" spans="1:9" ht="15" customHeight="1">
      <c r="A118" s="651" t="s">
        <v>1005</v>
      </c>
      <c r="B118" s="652" t="s">
        <v>1006</v>
      </c>
      <c r="C118" s="653">
        <v>45694</v>
      </c>
      <c r="D118" s="654">
        <v>0</v>
      </c>
      <c r="E118" s="654"/>
      <c r="F118" s="649"/>
      <c r="G118" s="649"/>
      <c r="H118" s="116"/>
      <c r="I118" s="562"/>
    </row>
    <row r="119" spans="1:9" ht="15" customHeight="1">
      <c r="A119" s="651" t="s">
        <v>1007</v>
      </c>
      <c r="B119" s="655" t="s">
        <v>876</v>
      </c>
      <c r="C119" s="653"/>
      <c r="D119" s="654">
        <v>48000</v>
      </c>
      <c r="E119" s="654"/>
      <c r="F119" s="649"/>
      <c r="G119" s="649"/>
      <c r="H119" s="116"/>
      <c r="I119" s="562"/>
    </row>
    <row r="120" spans="1:9" ht="15" customHeight="1">
      <c r="A120" s="643"/>
      <c r="B120" s="623"/>
      <c r="C120" s="644"/>
      <c r="D120" s="649"/>
      <c r="E120" s="649"/>
      <c r="F120" s="649"/>
      <c r="G120" s="649"/>
      <c r="H120" s="116"/>
      <c r="I120" s="562"/>
    </row>
    <row r="121" spans="1:9" ht="15" customHeight="1">
      <c r="A121" s="646" t="s">
        <v>1008</v>
      </c>
      <c r="B121" s="643"/>
      <c r="C121" s="644"/>
      <c r="D121" s="649"/>
      <c r="E121" s="649"/>
      <c r="F121" s="649"/>
      <c r="G121" s="649"/>
      <c r="H121" s="116"/>
      <c r="I121" s="562"/>
    </row>
    <row r="122" spans="1:9" ht="15" customHeight="1">
      <c r="A122" s="574" t="s">
        <v>1009</v>
      </c>
      <c r="B122" s="623" t="s">
        <v>1010</v>
      </c>
      <c r="C122" s="648">
        <v>20000</v>
      </c>
      <c r="D122" s="648">
        <v>14000</v>
      </c>
      <c r="E122" s="648">
        <v>6000</v>
      </c>
      <c r="F122" s="576"/>
      <c r="G122" s="576"/>
      <c r="H122" s="116"/>
      <c r="I122" s="562"/>
    </row>
    <row r="123" spans="1:9" ht="15" customHeight="1">
      <c r="A123" s="574" t="s">
        <v>1011</v>
      </c>
      <c r="B123" s="623" t="s">
        <v>1010</v>
      </c>
      <c r="C123" s="648">
        <v>29000</v>
      </c>
      <c r="D123" s="648">
        <v>27000</v>
      </c>
      <c r="E123" s="648"/>
      <c r="F123" s="576"/>
      <c r="G123" s="576"/>
      <c r="H123" s="116"/>
      <c r="I123" s="562"/>
    </row>
    <row r="124" spans="1:9" ht="15" customHeight="1">
      <c r="A124" s="574" t="s">
        <v>1012</v>
      </c>
      <c r="B124" s="623" t="s">
        <v>1013</v>
      </c>
      <c r="C124" s="648">
        <v>1000</v>
      </c>
      <c r="D124" s="648"/>
      <c r="E124" s="648"/>
      <c r="F124" s="576"/>
      <c r="G124" s="576"/>
      <c r="H124" s="116"/>
      <c r="I124" s="562"/>
    </row>
    <row r="125" spans="1:9" ht="15" customHeight="1">
      <c r="A125" s="574"/>
      <c r="B125" s="623"/>
      <c r="C125" s="648"/>
      <c r="D125" s="648"/>
      <c r="E125" s="648"/>
      <c r="F125" s="576"/>
      <c r="G125" s="576"/>
      <c r="H125" s="116"/>
      <c r="I125" s="562"/>
    </row>
    <row r="126" spans="1:9" ht="15" customHeight="1">
      <c r="A126" s="574"/>
      <c r="B126" s="623"/>
      <c r="C126" s="648"/>
      <c r="D126" s="648"/>
      <c r="E126" s="648"/>
      <c r="F126" s="576"/>
      <c r="G126" s="576"/>
      <c r="H126" s="116"/>
      <c r="I126" s="562"/>
    </row>
    <row r="127" spans="1:9" ht="15" customHeight="1">
      <c r="A127" s="646" t="s">
        <v>1014</v>
      </c>
      <c r="B127" s="623"/>
      <c r="C127" s="648"/>
      <c r="D127" s="648"/>
      <c r="E127" s="648"/>
      <c r="F127" s="576"/>
      <c r="G127" s="576"/>
      <c r="H127" s="116"/>
      <c r="I127" s="562"/>
    </row>
    <row r="128" spans="1:9" ht="15" customHeight="1">
      <c r="A128" s="574" t="s">
        <v>1015</v>
      </c>
      <c r="B128" s="623" t="s">
        <v>66</v>
      </c>
      <c r="C128" s="648">
        <v>11571</v>
      </c>
      <c r="D128" s="648">
        <v>14571</v>
      </c>
      <c r="E128" s="648">
        <v>17571</v>
      </c>
      <c r="F128" s="648">
        <v>17571</v>
      </c>
      <c r="G128" s="648">
        <v>17571</v>
      </c>
      <c r="H128" s="116"/>
      <c r="I128" s="562"/>
    </row>
    <row r="129" spans="1:9" ht="15" customHeight="1">
      <c r="A129" s="574" t="s">
        <v>1016</v>
      </c>
      <c r="B129" s="623" t="s">
        <v>70</v>
      </c>
      <c r="C129" s="648">
        <v>1400</v>
      </c>
      <c r="D129" s="648">
        <v>3630</v>
      </c>
      <c r="E129" s="648">
        <v>4000</v>
      </c>
      <c r="F129" s="648"/>
      <c r="G129" s="648"/>
      <c r="H129" s="116"/>
      <c r="I129" s="562"/>
    </row>
    <row r="130" spans="1:9" ht="15" customHeight="1">
      <c r="A130" s="656" t="s">
        <v>1017</v>
      </c>
      <c r="B130" s="623" t="s">
        <v>70</v>
      </c>
      <c r="C130" s="648">
        <v>7300</v>
      </c>
      <c r="D130" s="648">
        <v>10000</v>
      </c>
      <c r="E130" s="648">
        <v>10000</v>
      </c>
      <c r="F130" s="648"/>
      <c r="G130" s="648"/>
      <c r="H130" s="116"/>
      <c r="I130" s="562"/>
    </row>
    <row r="131" spans="1:9" ht="15" customHeight="1">
      <c r="A131" s="643" t="s">
        <v>1018</v>
      </c>
      <c r="B131" s="623" t="s">
        <v>952</v>
      </c>
      <c r="C131" s="644">
        <v>58608</v>
      </c>
      <c r="D131" s="644">
        <v>100000</v>
      </c>
      <c r="E131" s="644">
        <v>100000</v>
      </c>
      <c r="F131" s="644">
        <v>100000</v>
      </c>
      <c r="G131" s="116"/>
      <c r="H131" s="562"/>
    </row>
    <row r="132" spans="1:9" ht="15" customHeight="1">
      <c r="A132" s="574" t="s">
        <v>1019</v>
      </c>
      <c r="B132" s="623" t="s">
        <v>952</v>
      </c>
      <c r="C132" s="648">
        <v>2858</v>
      </c>
      <c r="D132" s="648">
        <v>4900</v>
      </c>
      <c r="E132" s="648">
        <v>4900</v>
      </c>
      <c r="F132" s="648">
        <v>4900</v>
      </c>
      <c r="H132" s="562"/>
    </row>
    <row r="133" spans="1:9" ht="15" customHeight="1">
      <c r="A133" s="574"/>
      <c r="B133" s="623"/>
      <c r="C133" s="648"/>
      <c r="D133" s="648"/>
      <c r="E133" s="648"/>
      <c r="F133" s="648"/>
      <c r="H133" s="562"/>
    </row>
    <row r="134" spans="1:9" ht="15" customHeight="1">
      <c r="A134" s="574"/>
      <c r="B134" s="623"/>
      <c r="C134" s="648"/>
      <c r="D134" s="648"/>
      <c r="E134" s="648"/>
      <c r="F134" s="648"/>
      <c r="H134" s="562"/>
    </row>
    <row r="135" spans="1:9" ht="15" customHeight="1">
      <c r="A135" s="646" t="s">
        <v>1020</v>
      </c>
      <c r="B135" s="643"/>
      <c r="C135" s="644"/>
      <c r="D135" s="644"/>
      <c r="E135" s="576"/>
      <c r="F135" s="576"/>
      <c r="G135" s="576"/>
      <c r="H135" s="116"/>
      <c r="I135" s="562"/>
    </row>
    <row r="136" spans="1:9" ht="15" customHeight="1">
      <c r="A136" s="643" t="s">
        <v>1021</v>
      </c>
      <c r="B136" s="623" t="s">
        <v>944</v>
      </c>
      <c r="C136" s="657"/>
      <c r="D136" s="644">
        <v>3740</v>
      </c>
      <c r="E136" s="576"/>
      <c r="F136" s="576"/>
      <c r="G136" s="576"/>
      <c r="H136" s="116"/>
      <c r="I136" s="562"/>
    </row>
    <row r="137" spans="1:9" ht="15" customHeight="1">
      <c r="A137" s="574" t="s">
        <v>1022</v>
      </c>
      <c r="B137" s="623" t="s">
        <v>1023</v>
      </c>
      <c r="C137" s="644"/>
      <c r="D137" s="644">
        <v>3120</v>
      </c>
      <c r="E137" s="576"/>
      <c r="F137" s="576"/>
      <c r="G137" s="576"/>
      <c r="H137" s="116"/>
      <c r="I137" s="562"/>
    </row>
    <row r="138" spans="1:9" ht="15" customHeight="1">
      <c r="A138" s="574" t="s">
        <v>1024</v>
      </c>
      <c r="B138" s="623" t="s">
        <v>73</v>
      </c>
      <c r="C138" s="644"/>
      <c r="D138" s="644">
        <v>5000</v>
      </c>
      <c r="E138" s="576"/>
      <c r="F138" s="576"/>
      <c r="G138" s="576"/>
      <c r="H138" s="116"/>
      <c r="I138" s="562"/>
    </row>
    <row r="139" spans="1:9" ht="15" customHeight="1">
      <c r="A139" s="574" t="s">
        <v>1025</v>
      </c>
      <c r="B139" s="623" t="s">
        <v>74</v>
      </c>
      <c r="C139" s="644"/>
      <c r="D139" s="644">
        <v>13072</v>
      </c>
      <c r="E139" s="576"/>
      <c r="F139" s="576"/>
      <c r="G139" s="576"/>
      <c r="H139" s="116"/>
      <c r="I139" s="562"/>
    </row>
    <row r="140" spans="1:9" ht="15" customHeight="1">
      <c r="A140" s="574" t="s">
        <v>1026</v>
      </c>
      <c r="B140" s="623" t="s">
        <v>74</v>
      </c>
      <c r="C140" s="644"/>
      <c r="D140" s="644">
        <v>6000</v>
      </c>
      <c r="E140" s="576"/>
      <c r="F140" s="576"/>
      <c r="G140" s="576"/>
      <c r="H140" s="116"/>
      <c r="I140" s="562"/>
    </row>
    <row r="141" spans="1:9" ht="15" customHeight="1">
      <c r="A141" s="574" t="s">
        <v>1027</v>
      </c>
      <c r="B141" s="623" t="s">
        <v>84</v>
      </c>
      <c r="C141" s="644"/>
      <c r="D141" s="644">
        <v>12700</v>
      </c>
      <c r="E141" s="576"/>
      <c r="F141" s="576"/>
      <c r="G141" s="576"/>
      <c r="H141" s="116"/>
      <c r="I141" s="562"/>
    </row>
    <row r="142" spans="1:9" ht="15" customHeight="1">
      <c r="A142" s="658"/>
      <c r="B142" s="643"/>
      <c r="C142" s="644"/>
      <c r="D142" s="644"/>
      <c r="E142" s="576"/>
      <c r="F142" s="576"/>
      <c r="G142" s="576"/>
      <c r="H142" s="116"/>
      <c r="I142" s="562"/>
    </row>
    <row r="143" spans="1:9" ht="15" customHeight="1">
      <c r="A143" s="646" t="s">
        <v>845</v>
      </c>
      <c r="B143" s="623"/>
      <c r="C143" s="624"/>
      <c r="D143" s="576"/>
      <c r="E143" s="576"/>
      <c r="F143" s="576"/>
      <c r="G143" s="576"/>
      <c r="H143" s="116"/>
      <c r="I143" s="562"/>
    </row>
    <row r="144" spans="1:9" ht="15" customHeight="1">
      <c r="A144" s="656" t="s">
        <v>1028</v>
      </c>
      <c r="B144" s="623" t="s">
        <v>282</v>
      </c>
      <c r="C144" s="648">
        <v>-29300</v>
      </c>
      <c r="D144" s="648">
        <v>-34800</v>
      </c>
      <c r="E144" s="648">
        <v>-65300</v>
      </c>
      <c r="F144" s="648">
        <v>-65300</v>
      </c>
      <c r="G144" s="648">
        <v>-65300</v>
      </c>
      <c r="H144" s="116"/>
      <c r="I144" s="562"/>
    </row>
    <row r="145" spans="1:9" ht="15" customHeight="1">
      <c r="A145" s="574"/>
      <c r="B145" s="623"/>
      <c r="C145" s="648"/>
      <c r="D145" s="648"/>
      <c r="E145" s="648"/>
      <c r="F145" s="576"/>
      <c r="G145" s="576"/>
      <c r="H145" s="116"/>
      <c r="I145" s="562"/>
    </row>
    <row r="146" spans="1:9" ht="15" customHeight="1">
      <c r="A146" s="622"/>
      <c r="B146" s="623"/>
      <c r="C146" s="624"/>
      <c r="D146" s="576"/>
      <c r="E146" s="576"/>
      <c r="F146" s="576"/>
      <c r="G146" s="576"/>
      <c r="H146" s="116"/>
      <c r="I146" s="562"/>
    </row>
    <row r="147" spans="1:9" ht="15" customHeight="1">
      <c r="A147" s="642"/>
      <c r="B147" s="623"/>
      <c r="C147" s="648"/>
      <c r="D147" s="648"/>
      <c r="G147" s="648"/>
      <c r="H147" s="116"/>
      <c r="I147" s="562"/>
    </row>
    <row r="148" spans="1:9" ht="15" customHeight="1">
      <c r="A148" t="s">
        <v>1029</v>
      </c>
      <c r="B148" s="623" t="s">
        <v>71</v>
      </c>
      <c r="D148" s="648"/>
      <c r="G148" s="648"/>
      <c r="H148" s="116"/>
      <c r="I148" s="562"/>
    </row>
    <row r="149" spans="1:9" ht="15" customHeight="1">
      <c r="A149" s="575" t="s">
        <v>1030</v>
      </c>
      <c r="B149" s="652" t="s">
        <v>351</v>
      </c>
      <c r="C149" s="648">
        <f>652000+300000</f>
        <v>952000</v>
      </c>
      <c r="D149" s="648"/>
      <c r="G149" s="648"/>
      <c r="H149" s="116"/>
      <c r="I149" s="562"/>
    </row>
    <row r="150" spans="1:9" ht="15" customHeight="1">
      <c r="A150" s="643" t="s">
        <v>1031</v>
      </c>
      <c r="B150" s="652" t="s">
        <v>355</v>
      </c>
      <c r="C150" s="648">
        <f>375000</f>
        <v>375000</v>
      </c>
      <c r="D150" s="648"/>
      <c r="G150" s="648"/>
      <c r="H150" s="116"/>
      <c r="I150" s="562"/>
    </row>
    <row r="151" spans="1:9" ht="15" customHeight="1">
      <c r="A151" s="622"/>
      <c r="B151" s="652" t="s">
        <v>359</v>
      </c>
      <c r="C151" s="648">
        <v>765000</v>
      </c>
      <c r="D151" s="648"/>
      <c r="G151" s="648"/>
      <c r="H151" s="116"/>
      <c r="I151" s="562"/>
    </row>
    <row r="152" spans="1:9" ht="15" customHeight="1">
      <c r="A152" s="622"/>
      <c r="B152" s="652" t="s">
        <v>363</v>
      </c>
      <c r="C152" s="648">
        <v>403000</v>
      </c>
      <c r="D152" s="648"/>
      <c r="G152" s="648"/>
      <c r="H152" s="116"/>
      <c r="I152" s="562"/>
    </row>
    <row r="153" spans="1:9" ht="15" customHeight="1">
      <c r="A153" s="622"/>
      <c r="B153" s="652" t="s">
        <v>815</v>
      </c>
      <c r="C153" s="648">
        <v>757000</v>
      </c>
      <c r="D153" s="648"/>
      <c r="G153" s="648"/>
      <c r="H153" s="116"/>
      <c r="I153" s="562"/>
    </row>
    <row r="154" spans="1:9" ht="15" customHeight="1">
      <c r="A154" s="622"/>
      <c r="B154" s="652" t="s">
        <v>816</v>
      </c>
      <c r="C154" s="648">
        <v>277000</v>
      </c>
      <c r="D154" s="648"/>
      <c r="G154" s="648"/>
      <c r="H154" s="116"/>
      <c r="I154" s="562"/>
    </row>
    <row r="155" spans="1:9" ht="15" customHeight="1">
      <c r="A155" s="622"/>
      <c r="B155" s="652" t="s">
        <v>375</v>
      </c>
      <c r="C155" s="648">
        <f>217000</f>
        <v>217000</v>
      </c>
      <c r="D155" s="648"/>
      <c r="G155" s="648"/>
      <c r="H155" s="116"/>
      <c r="I155" s="562"/>
    </row>
    <row r="156" spans="1:9" ht="15" customHeight="1">
      <c r="A156" s="622"/>
      <c r="B156" s="652" t="s">
        <v>379</v>
      </c>
      <c r="C156" s="648">
        <v>173000</v>
      </c>
      <c r="D156" s="648"/>
      <c r="G156" s="648"/>
      <c r="H156" s="116"/>
      <c r="I156" s="562"/>
    </row>
    <row r="157" spans="1:9" ht="15" customHeight="1">
      <c r="A157" s="622"/>
      <c r="B157" s="652" t="s">
        <v>817</v>
      </c>
      <c r="C157" s="648">
        <v>283000</v>
      </c>
      <c r="D157" s="648"/>
      <c r="G157" s="648"/>
      <c r="H157" s="116"/>
      <c r="I157" s="562"/>
    </row>
    <row r="158" spans="1:9" ht="15" customHeight="1">
      <c r="A158" s="622"/>
      <c r="B158" s="652" t="s">
        <v>818</v>
      </c>
      <c r="C158" s="648">
        <v>236000</v>
      </c>
      <c r="D158" s="648"/>
      <c r="G158" s="648"/>
      <c r="H158" s="116"/>
      <c r="I158" s="562"/>
    </row>
    <row r="159" spans="1:9" ht="15" customHeight="1">
      <c r="A159" s="622"/>
      <c r="B159" s="652" t="s">
        <v>391</v>
      </c>
      <c r="C159" s="648">
        <v>315000</v>
      </c>
      <c r="D159" s="648"/>
      <c r="G159" s="648"/>
      <c r="H159" s="116"/>
      <c r="I159" s="562"/>
    </row>
    <row r="160" spans="1:9" ht="15" customHeight="1">
      <c r="A160" s="622"/>
      <c r="B160" s="652" t="s">
        <v>395</v>
      </c>
      <c r="C160" s="648">
        <v>102000</v>
      </c>
      <c r="D160" s="648"/>
      <c r="G160" s="648"/>
      <c r="H160" s="116"/>
      <c r="I160" s="562"/>
    </row>
    <row r="161" spans="1:9" ht="15" customHeight="1">
      <c r="A161" s="622"/>
      <c r="B161" s="652" t="s">
        <v>399</v>
      </c>
      <c r="C161" s="648">
        <v>475000</v>
      </c>
      <c r="D161" s="648"/>
      <c r="G161" s="648"/>
      <c r="H161" s="116"/>
      <c r="I161" s="562"/>
    </row>
    <row r="162" spans="1:9" ht="15" customHeight="1">
      <c r="A162" s="622"/>
      <c r="B162" s="652" t="s">
        <v>405</v>
      </c>
      <c r="C162" s="648">
        <v>80000</v>
      </c>
      <c r="D162" s="648"/>
      <c r="G162" s="648"/>
      <c r="H162" s="116"/>
      <c r="I162" s="562"/>
    </row>
    <row r="163" spans="1:9" ht="15" customHeight="1">
      <c r="A163" s="622"/>
      <c r="B163" s="652" t="s">
        <v>411</v>
      </c>
      <c r="C163" s="648">
        <v>195000</v>
      </c>
      <c r="D163" s="648"/>
      <c r="G163" s="648"/>
      <c r="H163" s="116"/>
      <c r="I163" s="562"/>
    </row>
    <row r="164" spans="1:9" ht="15" customHeight="1">
      <c r="A164" s="622"/>
      <c r="B164" s="652" t="s">
        <v>417</v>
      </c>
      <c r="C164" s="648">
        <v>623000</v>
      </c>
      <c r="D164" s="648"/>
      <c r="G164" s="648"/>
      <c r="H164" s="116"/>
      <c r="I164" s="562"/>
    </row>
    <row r="165" spans="1:9" ht="15" customHeight="1">
      <c r="A165" s="622"/>
      <c r="B165" s="652" t="s">
        <v>422</v>
      </c>
      <c r="C165" s="648">
        <v>78000</v>
      </c>
      <c r="D165" s="648"/>
      <c r="G165" s="648"/>
      <c r="H165" s="116"/>
      <c r="I165" s="562"/>
    </row>
    <row r="166" spans="1:9" ht="15" customHeight="1">
      <c r="A166" s="622"/>
      <c r="B166" s="652" t="s">
        <v>427</v>
      </c>
      <c r="C166" s="648">
        <v>787000</v>
      </c>
      <c r="D166" s="648"/>
      <c r="G166" s="648"/>
      <c r="H166" s="116"/>
      <c r="I166" s="562"/>
    </row>
    <row r="167" spans="1:9" ht="15" customHeight="1">
      <c r="A167" s="622"/>
      <c r="B167" s="652" t="s">
        <v>432</v>
      </c>
      <c r="C167" s="648">
        <v>62000</v>
      </c>
      <c r="D167" s="648"/>
      <c r="G167" s="648"/>
      <c r="H167" s="116"/>
      <c r="I167" s="562"/>
    </row>
    <row r="168" spans="1:9" ht="15" customHeight="1">
      <c r="A168" s="622"/>
      <c r="B168" s="659" t="s">
        <v>436</v>
      </c>
      <c r="C168" s="660">
        <v>118000</v>
      </c>
      <c r="D168" s="648"/>
      <c r="G168" s="648"/>
      <c r="H168" s="116"/>
      <c r="I168" s="562"/>
    </row>
    <row r="169" spans="1:9" ht="15" customHeight="1">
      <c r="A169" s="622"/>
      <c r="B169" s="661" t="s">
        <v>156</v>
      </c>
      <c r="C169" s="662">
        <f>SUM(C149:C168)</f>
        <v>7273000</v>
      </c>
      <c r="D169" s="648"/>
      <c r="G169" s="648"/>
      <c r="H169" s="116"/>
      <c r="I169" s="562"/>
    </row>
    <row r="170" spans="1:9" ht="15" customHeight="1">
      <c r="A170" s="622"/>
      <c r="B170" s="623"/>
      <c r="C170" s="648"/>
      <c r="D170" s="648"/>
      <c r="E170" s="648"/>
      <c r="F170" s="648"/>
      <c r="G170" s="648"/>
      <c r="H170" s="116"/>
      <c r="I170" s="562"/>
    </row>
    <row r="171" spans="1:9" ht="15" customHeight="1">
      <c r="A171" t="s">
        <v>1029</v>
      </c>
      <c r="B171" s="623" t="s">
        <v>72</v>
      </c>
      <c r="C171" s="648"/>
      <c r="D171" s="648"/>
      <c r="E171" s="648"/>
      <c r="F171" s="648"/>
      <c r="G171" s="648"/>
      <c r="H171" s="116"/>
      <c r="I171" s="562"/>
    </row>
    <row r="172" spans="1:9" ht="15" customHeight="1">
      <c r="A172" s="575" t="s">
        <v>1032</v>
      </c>
      <c r="B172" s="652" t="s">
        <v>351</v>
      </c>
      <c r="C172" s="648">
        <v>67000</v>
      </c>
      <c r="D172" s="648"/>
      <c r="E172" s="648"/>
      <c r="F172" s="648"/>
      <c r="G172" s="648"/>
      <c r="H172" s="116"/>
      <c r="I172" s="562"/>
    </row>
    <row r="173" spans="1:9" ht="15" customHeight="1">
      <c r="A173" s="643" t="s">
        <v>1033</v>
      </c>
      <c r="B173" s="652" t="s">
        <v>355</v>
      </c>
      <c r="C173" s="648">
        <v>39000</v>
      </c>
      <c r="D173" s="648"/>
      <c r="E173" s="648"/>
      <c r="F173" s="648"/>
      <c r="G173" s="648"/>
      <c r="H173" s="116"/>
      <c r="I173" s="562"/>
    </row>
    <row r="174" spans="1:9" ht="15" customHeight="1">
      <c r="A174" s="643"/>
      <c r="B174" s="652" t="s">
        <v>359</v>
      </c>
      <c r="C174" s="648">
        <v>77000</v>
      </c>
      <c r="D174" s="648"/>
      <c r="E174" s="648"/>
      <c r="F174" s="648"/>
      <c r="G174" s="648"/>
      <c r="H174" s="116"/>
      <c r="I174" s="562"/>
    </row>
    <row r="175" spans="1:9" ht="15" customHeight="1">
      <c r="A175" s="643"/>
      <c r="B175" s="652" t="s">
        <v>363</v>
      </c>
      <c r="C175" s="648">
        <v>41000</v>
      </c>
      <c r="D175" s="648"/>
      <c r="E175" s="648"/>
      <c r="F175" s="648"/>
      <c r="G175" s="648"/>
      <c r="H175" s="116"/>
      <c r="I175" s="562"/>
    </row>
    <row r="176" spans="1:9" ht="15" customHeight="1">
      <c r="A176" s="643"/>
      <c r="B176" s="652" t="s">
        <v>815</v>
      </c>
      <c r="C176" s="648">
        <v>77000</v>
      </c>
      <c r="D176" s="648"/>
      <c r="E176" s="648"/>
      <c r="F176" s="648"/>
      <c r="G176" s="648"/>
      <c r="H176" s="116"/>
      <c r="I176" s="562"/>
    </row>
    <row r="177" spans="1:9" ht="15" customHeight="1">
      <c r="A177" s="643"/>
      <c r="B177" s="652" t="s">
        <v>816</v>
      </c>
      <c r="C177" s="648">
        <v>28000</v>
      </c>
      <c r="D177" s="648"/>
      <c r="E177" s="648"/>
      <c r="F177" s="648"/>
      <c r="G177" s="648"/>
      <c r="H177" s="116"/>
      <c r="I177" s="562"/>
    </row>
    <row r="178" spans="1:9" ht="15" customHeight="1">
      <c r="A178" s="643"/>
      <c r="B178" s="652" t="s">
        <v>375</v>
      </c>
      <c r="C178" s="648">
        <v>22000</v>
      </c>
      <c r="D178" s="648"/>
      <c r="E178" s="648"/>
      <c r="F178" s="648"/>
      <c r="G178" s="648"/>
      <c r="H178" s="116"/>
      <c r="I178" s="562"/>
    </row>
    <row r="179" spans="1:9" ht="15" customHeight="1">
      <c r="A179" s="643"/>
      <c r="B179" s="652" t="s">
        <v>379</v>
      </c>
      <c r="C179" s="648">
        <v>18000</v>
      </c>
      <c r="D179" s="648"/>
      <c r="E179" s="648"/>
      <c r="F179" s="648"/>
      <c r="G179" s="648"/>
      <c r="H179" s="116"/>
      <c r="I179" s="562"/>
    </row>
    <row r="180" spans="1:9" ht="15" customHeight="1">
      <c r="A180" s="643"/>
      <c r="B180" s="652" t="s">
        <v>817</v>
      </c>
      <c r="C180" s="648">
        <v>29000</v>
      </c>
      <c r="D180" s="648"/>
      <c r="E180" s="648"/>
      <c r="F180" s="648"/>
      <c r="G180" s="648"/>
      <c r="H180" s="116"/>
      <c r="I180" s="562"/>
    </row>
    <row r="181" spans="1:9" ht="15" customHeight="1">
      <c r="A181" s="643"/>
      <c r="B181" s="652" t="s">
        <v>818</v>
      </c>
      <c r="C181" s="648">
        <v>24000</v>
      </c>
      <c r="D181" s="648"/>
      <c r="E181" s="648"/>
      <c r="F181" s="648"/>
      <c r="G181" s="648"/>
      <c r="H181" s="116"/>
      <c r="I181" s="562"/>
    </row>
    <row r="182" spans="1:9" ht="15" customHeight="1">
      <c r="A182" s="643"/>
      <c r="B182" s="652" t="s">
        <v>391</v>
      </c>
      <c r="C182" s="648">
        <v>32000</v>
      </c>
      <c r="D182" s="648"/>
      <c r="E182" s="648"/>
      <c r="F182" s="648"/>
      <c r="G182" s="648"/>
      <c r="H182" s="116"/>
      <c r="I182" s="562"/>
    </row>
    <row r="183" spans="1:9" ht="15" customHeight="1">
      <c r="A183" s="643"/>
      <c r="B183" s="652" t="s">
        <v>395</v>
      </c>
      <c r="C183" s="648">
        <v>10000</v>
      </c>
      <c r="D183" s="648"/>
      <c r="E183" s="648"/>
      <c r="F183" s="648"/>
      <c r="G183" s="648"/>
      <c r="H183" s="116"/>
      <c r="I183" s="562"/>
    </row>
    <row r="184" spans="1:9" ht="15" customHeight="1">
      <c r="A184" s="643"/>
      <c r="B184" s="652" t="s">
        <v>399</v>
      </c>
      <c r="C184" s="648">
        <v>47000</v>
      </c>
      <c r="D184" s="648"/>
      <c r="E184" s="648"/>
      <c r="F184" s="648"/>
      <c r="G184" s="648"/>
      <c r="H184" s="116"/>
      <c r="I184" s="562"/>
    </row>
    <row r="185" spans="1:9" ht="15" customHeight="1">
      <c r="A185" s="643"/>
      <c r="B185" s="652" t="s">
        <v>405</v>
      </c>
      <c r="C185" s="648">
        <v>10000</v>
      </c>
      <c r="D185" s="648"/>
      <c r="E185" s="648"/>
      <c r="F185" s="648"/>
      <c r="G185" s="648"/>
      <c r="H185" s="116"/>
      <c r="I185" s="562"/>
    </row>
    <row r="186" spans="1:9" ht="15" customHeight="1">
      <c r="A186" s="643"/>
      <c r="B186" s="652" t="s">
        <v>411</v>
      </c>
      <c r="C186" s="648">
        <v>18000</v>
      </c>
      <c r="D186" s="648"/>
      <c r="E186" s="648"/>
      <c r="F186" s="648"/>
      <c r="G186" s="648"/>
      <c r="H186" s="116"/>
      <c r="I186" s="562"/>
    </row>
    <row r="187" spans="1:9" ht="15" customHeight="1">
      <c r="A187" s="643"/>
      <c r="B187" s="652" t="s">
        <v>417</v>
      </c>
      <c r="C187" s="648">
        <v>64000</v>
      </c>
      <c r="D187" s="648"/>
      <c r="E187" s="648"/>
      <c r="F187" s="648"/>
      <c r="G187" s="648"/>
      <c r="H187" s="116"/>
      <c r="I187" s="562"/>
    </row>
    <row r="188" spans="1:9" ht="15" customHeight="1">
      <c r="A188" s="643"/>
      <c r="B188" s="652" t="s">
        <v>422</v>
      </c>
      <c r="C188" s="648">
        <v>9000</v>
      </c>
      <c r="D188" s="648"/>
      <c r="E188" s="648"/>
      <c r="F188" s="648"/>
      <c r="G188" s="648"/>
      <c r="H188" s="116"/>
      <c r="I188" s="562"/>
    </row>
    <row r="189" spans="1:9" ht="15" customHeight="1">
      <c r="A189" s="643"/>
      <c r="B189" s="652" t="s">
        <v>427</v>
      </c>
      <c r="C189" s="648">
        <v>80000</v>
      </c>
      <c r="D189" s="648"/>
      <c r="E189" s="648"/>
      <c r="F189" s="648"/>
      <c r="G189" s="648"/>
      <c r="H189" s="116"/>
      <c r="I189" s="562"/>
    </row>
    <row r="190" spans="1:9" ht="15" customHeight="1">
      <c r="A190" s="643"/>
      <c r="B190" s="652" t="s">
        <v>432</v>
      </c>
      <c r="C190" s="648">
        <v>6000</v>
      </c>
      <c r="D190" s="648"/>
      <c r="E190" s="648"/>
      <c r="F190" s="648"/>
      <c r="G190" s="648"/>
      <c r="H190" s="116"/>
      <c r="I190" s="562"/>
    </row>
    <row r="191" spans="1:9" ht="15" customHeight="1">
      <c r="A191" s="643"/>
      <c r="B191" s="659" t="s">
        <v>436</v>
      </c>
      <c r="C191" s="660">
        <v>11000</v>
      </c>
      <c r="D191" s="648"/>
      <c r="E191" s="648"/>
      <c r="F191" s="648"/>
      <c r="G191" s="648"/>
      <c r="H191" s="116"/>
      <c r="I191" s="562"/>
    </row>
    <row r="192" spans="1:9" ht="15" customHeight="1">
      <c r="A192" s="643"/>
      <c r="B192" s="661" t="s">
        <v>156</v>
      </c>
      <c r="C192" s="662">
        <f>SUM(C172:C191)</f>
        <v>709000</v>
      </c>
      <c r="D192" s="648"/>
      <c r="E192" s="648"/>
      <c r="F192" s="648"/>
      <c r="G192" s="648"/>
      <c r="H192" s="116"/>
      <c r="I192" s="562"/>
    </row>
    <row r="193" spans="1:9" ht="15" customHeight="1">
      <c r="A193" s="643"/>
      <c r="B193" s="652"/>
      <c r="C193" s="648"/>
      <c r="D193" s="648"/>
      <c r="E193" s="648"/>
      <c r="F193" s="648"/>
      <c r="G193" s="648"/>
      <c r="H193" s="116"/>
      <c r="I193" s="562"/>
    </row>
    <row r="194" spans="1:9" ht="15" customHeight="1">
      <c r="A194" t="s">
        <v>1029</v>
      </c>
      <c r="B194" s="652" t="s">
        <v>1034</v>
      </c>
      <c r="C194" s="648"/>
      <c r="D194" s="648"/>
      <c r="E194" s="648"/>
      <c r="F194" s="648"/>
      <c r="G194" s="648"/>
      <c r="H194" s="116"/>
      <c r="I194" s="562"/>
    </row>
    <row r="195" spans="1:9" ht="15" customHeight="1">
      <c r="A195" s="575" t="s">
        <v>1035</v>
      </c>
      <c r="B195" s="652" t="s">
        <v>351</v>
      </c>
      <c r="C195" s="648">
        <v>-253000</v>
      </c>
      <c r="D195" s="648"/>
      <c r="E195" s="648"/>
      <c r="F195" s="648"/>
      <c r="G195" s="648"/>
      <c r="H195" s="116"/>
      <c r="I195" s="562"/>
    </row>
    <row r="196" spans="1:9" ht="15" customHeight="1">
      <c r="A196" s="643"/>
      <c r="B196" s="652" t="s">
        <v>355</v>
      </c>
      <c r="C196" s="648">
        <v>-119000</v>
      </c>
      <c r="D196" s="648"/>
      <c r="E196" s="648"/>
      <c r="F196" s="648"/>
      <c r="G196" s="648"/>
      <c r="H196" s="116"/>
      <c r="I196" s="562"/>
    </row>
    <row r="197" spans="1:9" ht="15" customHeight="1">
      <c r="A197" s="643"/>
      <c r="B197" s="652" t="s">
        <v>359</v>
      </c>
      <c r="C197" s="648">
        <v>-15000</v>
      </c>
      <c r="D197" s="648"/>
      <c r="E197" s="648"/>
      <c r="F197" s="648"/>
      <c r="G197" s="648"/>
      <c r="H197" s="116"/>
      <c r="I197" s="562"/>
    </row>
    <row r="198" spans="1:9" ht="15" customHeight="1">
      <c r="A198" s="643"/>
      <c r="B198" s="652" t="s">
        <v>363</v>
      </c>
      <c r="C198" s="648">
        <v>-69000</v>
      </c>
      <c r="D198" s="648"/>
      <c r="E198" s="648"/>
      <c r="F198" s="648"/>
      <c r="G198" s="648"/>
      <c r="H198" s="116"/>
      <c r="I198" s="562"/>
    </row>
    <row r="199" spans="1:9" ht="15" customHeight="1">
      <c r="A199" s="643"/>
      <c r="B199" s="652" t="s">
        <v>815</v>
      </c>
      <c r="C199" s="648">
        <v>-654000</v>
      </c>
      <c r="D199" s="648"/>
      <c r="E199" s="648"/>
      <c r="F199" s="648"/>
      <c r="G199" s="648"/>
      <c r="H199" s="116"/>
      <c r="I199" s="562"/>
    </row>
    <row r="200" spans="1:9" ht="15" customHeight="1">
      <c r="A200" s="643"/>
      <c r="B200" s="652" t="s">
        <v>816</v>
      </c>
      <c r="C200" s="648">
        <v>-88000</v>
      </c>
      <c r="D200" s="648"/>
      <c r="E200" s="648"/>
      <c r="F200" s="648"/>
      <c r="G200" s="648"/>
      <c r="H200" s="116"/>
      <c r="I200" s="562"/>
    </row>
    <row r="201" spans="1:9" ht="15" customHeight="1">
      <c r="A201" s="643"/>
      <c r="B201" s="652" t="s">
        <v>375</v>
      </c>
      <c r="C201" s="648">
        <v>-30000</v>
      </c>
      <c r="D201" s="648"/>
      <c r="E201" s="648"/>
      <c r="F201" s="648"/>
      <c r="G201" s="648"/>
      <c r="H201" s="116"/>
      <c r="I201" s="562"/>
    </row>
    <row r="202" spans="1:9" ht="15" customHeight="1">
      <c r="A202" s="643"/>
      <c r="B202" s="652" t="s">
        <v>379</v>
      </c>
      <c r="C202" s="648">
        <v>-129000</v>
      </c>
      <c r="D202" s="648"/>
      <c r="E202" s="648"/>
      <c r="F202" s="648"/>
      <c r="G202" s="648"/>
      <c r="H202" s="116"/>
      <c r="I202" s="562"/>
    </row>
    <row r="203" spans="1:9" ht="15" customHeight="1">
      <c r="A203" s="643"/>
      <c r="B203" s="652" t="s">
        <v>817</v>
      </c>
      <c r="C203" s="648">
        <v>-26000</v>
      </c>
      <c r="D203" s="648"/>
      <c r="E203" s="648"/>
      <c r="F203" s="648"/>
      <c r="G203" s="648"/>
      <c r="H203" s="116"/>
      <c r="I203" s="562"/>
    </row>
    <row r="204" spans="1:9" ht="15" customHeight="1">
      <c r="A204" s="643"/>
      <c r="B204" s="652" t="s">
        <v>818</v>
      </c>
      <c r="C204" s="648">
        <v>0</v>
      </c>
      <c r="D204" s="648"/>
      <c r="E204" s="648"/>
      <c r="F204" s="648"/>
      <c r="G204" s="648"/>
      <c r="H204" s="116"/>
      <c r="I204" s="562"/>
    </row>
    <row r="205" spans="1:9" ht="15" customHeight="1">
      <c r="A205" s="643"/>
      <c r="B205" s="652" t="s">
        <v>391</v>
      </c>
      <c r="C205" s="648">
        <v>-248000</v>
      </c>
      <c r="D205" s="648"/>
      <c r="E205" s="648"/>
      <c r="F205" s="648"/>
      <c r="G205" s="648"/>
      <c r="H205" s="116"/>
      <c r="I205" s="562"/>
    </row>
    <row r="206" spans="1:9" ht="15" customHeight="1">
      <c r="A206" s="643"/>
      <c r="B206" s="652" t="s">
        <v>395</v>
      </c>
      <c r="C206" s="648">
        <v>0</v>
      </c>
      <c r="D206" s="648"/>
      <c r="E206" s="648"/>
      <c r="F206" s="648"/>
      <c r="G206" s="648"/>
      <c r="H206" s="116"/>
      <c r="I206" s="562"/>
    </row>
    <row r="207" spans="1:9" ht="15" customHeight="1">
      <c r="A207" s="643"/>
      <c r="B207" s="652" t="s">
        <v>399</v>
      </c>
      <c r="C207" s="648">
        <v>-17000</v>
      </c>
      <c r="D207" s="648"/>
      <c r="E207" s="648"/>
      <c r="F207" s="648"/>
      <c r="G207" s="648"/>
      <c r="H207" s="116"/>
      <c r="I207" s="562"/>
    </row>
    <row r="208" spans="1:9" ht="15" customHeight="1">
      <c r="A208" s="643"/>
      <c r="B208" s="652" t="s">
        <v>405</v>
      </c>
      <c r="C208" s="648">
        <v>-95000</v>
      </c>
      <c r="D208" s="648"/>
      <c r="E208" s="648"/>
      <c r="F208" s="648"/>
      <c r="G208" s="648"/>
      <c r="H208" s="116"/>
      <c r="I208" s="562"/>
    </row>
    <row r="209" spans="1:9" ht="15" customHeight="1">
      <c r="A209" s="643"/>
      <c r="B209" s="652" t="s">
        <v>411</v>
      </c>
      <c r="C209" s="648">
        <v>-44000</v>
      </c>
      <c r="D209" s="648"/>
      <c r="E209" s="648"/>
      <c r="F209" s="648"/>
      <c r="G209" s="648"/>
      <c r="H209" s="116"/>
      <c r="I209" s="562"/>
    </row>
    <row r="210" spans="1:9" ht="15" customHeight="1">
      <c r="A210" s="643"/>
      <c r="B210" s="652" t="s">
        <v>417</v>
      </c>
      <c r="C210" s="648">
        <v>-291000</v>
      </c>
      <c r="D210" s="648"/>
      <c r="E210" s="648"/>
      <c r="F210" s="648"/>
      <c r="G210" s="648"/>
      <c r="H210" s="116"/>
      <c r="I210" s="562"/>
    </row>
    <row r="211" spans="1:9" ht="15" customHeight="1">
      <c r="A211" s="643"/>
      <c r="B211" s="652" t="s">
        <v>422</v>
      </c>
      <c r="C211" s="648">
        <v>-8000</v>
      </c>
      <c r="D211" s="648"/>
      <c r="E211" s="648"/>
      <c r="F211" s="648"/>
      <c r="G211" s="648"/>
      <c r="H211" s="116"/>
      <c r="I211" s="562"/>
    </row>
    <row r="212" spans="1:9" ht="15" customHeight="1">
      <c r="A212" s="643"/>
      <c r="B212" s="652" t="s">
        <v>427</v>
      </c>
      <c r="C212" s="648">
        <v>-216000</v>
      </c>
      <c r="D212" s="648"/>
      <c r="E212" s="648"/>
      <c r="F212" s="648"/>
      <c r="G212" s="648"/>
      <c r="H212" s="116"/>
      <c r="I212" s="562"/>
    </row>
    <row r="213" spans="1:9" ht="15" customHeight="1">
      <c r="A213" s="643"/>
      <c r="B213" s="652" t="s">
        <v>432</v>
      </c>
      <c r="C213" s="648">
        <v>0</v>
      </c>
      <c r="D213" s="648"/>
      <c r="E213" s="648"/>
      <c r="F213" s="648"/>
      <c r="G213" s="648"/>
      <c r="H213" s="116"/>
      <c r="I213" s="562"/>
    </row>
    <row r="214" spans="1:9" ht="15" customHeight="1">
      <c r="A214" s="643"/>
      <c r="B214" s="659" t="s">
        <v>436</v>
      </c>
      <c r="C214" s="660">
        <v>-32000</v>
      </c>
      <c r="D214" s="648"/>
      <c r="E214" s="648"/>
      <c r="F214" s="648"/>
      <c r="G214" s="648"/>
      <c r="H214" s="116"/>
      <c r="I214" s="562"/>
    </row>
    <row r="215" spans="1:9" ht="15" customHeight="1">
      <c r="A215" s="643"/>
      <c r="B215" s="661" t="s">
        <v>156</v>
      </c>
      <c r="C215" s="662">
        <f>SUM(C195:C214)</f>
        <v>-2334000</v>
      </c>
      <c r="D215" s="648"/>
      <c r="E215" s="648"/>
      <c r="F215" s="648"/>
      <c r="G215" s="648"/>
      <c r="H215" s="116"/>
      <c r="I215" s="562"/>
    </row>
    <row r="216" spans="1:9" ht="15" customHeight="1">
      <c r="A216" s="643"/>
      <c r="B216" s="661"/>
      <c r="C216" s="662"/>
      <c r="D216" s="648"/>
      <c r="E216" s="648"/>
      <c r="F216" s="648"/>
      <c r="G216" s="648"/>
      <c r="H216" s="116"/>
      <c r="I216" s="562"/>
    </row>
    <row r="217" spans="1:9" ht="15" customHeight="1">
      <c r="A217" t="s">
        <v>1029</v>
      </c>
      <c r="B217" s="652" t="s">
        <v>1036</v>
      </c>
      <c r="C217" s="648"/>
      <c r="D217" s="648"/>
      <c r="E217" s="648"/>
      <c r="F217" s="648"/>
      <c r="G217" s="648"/>
      <c r="H217" s="116"/>
      <c r="I217" s="562"/>
    </row>
    <row r="218" spans="1:9" ht="15" customHeight="1">
      <c r="A218" s="663" t="s">
        <v>1037</v>
      </c>
      <c r="B218" s="652"/>
      <c r="C218" s="648">
        <v>4000</v>
      </c>
      <c r="D218" s="648"/>
      <c r="E218" s="648"/>
      <c r="F218" s="648"/>
      <c r="G218" s="648"/>
      <c r="H218" s="116"/>
      <c r="I218" s="562"/>
    </row>
    <row r="219" spans="1:9" ht="15" customHeight="1">
      <c r="A219" s="643"/>
      <c r="B219" s="652"/>
      <c r="C219" s="648"/>
      <c r="D219" s="648"/>
      <c r="E219" s="648"/>
      <c r="F219" s="648"/>
      <c r="G219" s="648"/>
      <c r="H219" s="116"/>
      <c r="I219" s="562"/>
    </row>
    <row r="220" spans="1:9" ht="15" customHeight="1">
      <c r="A220" t="s">
        <v>1038</v>
      </c>
      <c r="D220" s="648"/>
      <c r="E220" s="648"/>
      <c r="F220" s="648"/>
      <c r="G220" s="648"/>
      <c r="H220" s="116"/>
      <c r="I220" s="562"/>
    </row>
    <row r="221" spans="1:9" ht="15" customHeight="1">
      <c r="A221" s="664"/>
      <c r="B221" s="652"/>
      <c r="C221" s="648"/>
      <c r="D221" s="648"/>
      <c r="E221" s="648"/>
      <c r="F221" s="648"/>
      <c r="G221" s="648"/>
      <c r="H221" s="116"/>
      <c r="I221" s="562"/>
    </row>
    <row r="222" spans="1:9" ht="15" customHeight="1">
      <c r="A222" s="643"/>
      <c r="B222" s="652"/>
      <c r="C222" s="648"/>
      <c r="D222" s="648"/>
      <c r="E222" s="648"/>
      <c r="F222" s="648"/>
      <c r="G222" s="648"/>
      <c r="H222" s="116"/>
      <c r="I222" s="562"/>
    </row>
    <row r="223" spans="1:9" ht="15" customHeight="1">
      <c r="A223" s="119" t="s">
        <v>1039</v>
      </c>
      <c r="B223" s="652" t="s">
        <v>64</v>
      </c>
      <c r="C223" s="648"/>
      <c r="D223" s="665"/>
      <c r="E223" s="648"/>
      <c r="F223" s="648"/>
      <c r="G223" s="648"/>
      <c r="H223" s="116"/>
      <c r="I223" s="562"/>
    </row>
    <row r="224" spans="1:9" ht="15" customHeight="1">
      <c r="A224" s="663" t="s">
        <v>1040</v>
      </c>
      <c r="B224" s="666" t="s">
        <v>1041</v>
      </c>
      <c r="C224" s="648">
        <v>21300000</v>
      </c>
      <c r="D224" s="648"/>
      <c r="E224" s="648"/>
      <c r="F224" s="648"/>
      <c r="G224" s="648"/>
      <c r="H224" s="116"/>
      <c r="I224" s="562"/>
    </row>
    <row r="225" spans="1:9" ht="15" customHeight="1">
      <c r="A225" s="663" t="s">
        <v>1042</v>
      </c>
      <c r="B225" s="659"/>
      <c r="C225" s="660">
        <v>60400000</v>
      </c>
      <c r="D225" s="648"/>
      <c r="E225" s="648"/>
      <c r="F225" s="648"/>
      <c r="G225" s="648"/>
      <c r="H225" s="116"/>
      <c r="I225" s="562"/>
    </row>
    <row r="226" spans="1:9" ht="15" customHeight="1">
      <c r="A226" s="651"/>
      <c r="B226" s="661" t="s">
        <v>156</v>
      </c>
      <c r="C226" s="667">
        <f>SUM(C224:C225)</f>
        <v>81700000</v>
      </c>
      <c r="D226" s="648"/>
      <c r="E226" s="648"/>
      <c r="F226" s="648"/>
      <c r="G226" s="648"/>
      <c r="H226" s="116"/>
      <c r="I226" s="562"/>
    </row>
    <row r="227" spans="1:9">
      <c r="A227" s="651"/>
      <c r="B227" s="661"/>
      <c r="C227" s="667"/>
    </row>
    <row r="228" spans="1:9">
      <c r="A228" s="119" t="s">
        <v>1039</v>
      </c>
      <c r="B228" s="652" t="s">
        <v>1043</v>
      </c>
      <c r="C228" s="667"/>
    </row>
    <row r="229" spans="1:9">
      <c r="A229" s="651" t="s">
        <v>1044</v>
      </c>
      <c r="B229" s="668"/>
      <c r="C229" s="669">
        <v>234211000</v>
      </c>
    </row>
    <row r="230" spans="1:9">
      <c r="A230" s="651"/>
      <c r="B230" s="661" t="s">
        <v>156</v>
      </c>
      <c r="C230" s="667">
        <f>SUM(C228:C229)</f>
        <v>234211000</v>
      </c>
    </row>
    <row r="231" spans="1:9">
      <c r="B231" s="670"/>
      <c r="C231" s="671"/>
    </row>
    <row r="232" spans="1:9">
      <c r="B232" s="661"/>
      <c r="C232" s="667"/>
    </row>
    <row r="233" spans="1:9" ht="16.5">
      <c r="A233" s="672" t="s">
        <v>989</v>
      </c>
      <c r="B233" s="673"/>
      <c r="C233" s="9"/>
      <c r="D233" s="9"/>
      <c r="E233" s="9"/>
      <c r="F233" s="9"/>
      <c r="G233" s="9"/>
      <c r="H233" s="9"/>
    </row>
    <row r="234" spans="1:9">
      <c r="A234" s="674" t="s">
        <v>896</v>
      </c>
      <c r="B234" s="674"/>
      <c r="C234" s="9"/>
      <c r="D234" s="9"/>
      <c r="E234" s="9"/>
      <c r="F234" s="9"/>
      <c r="G234" s="9"/>
      <c r="H234" s="9"/>
    </row>
    <row r="235" spans="1:9">
      <c r="A235" s="675" t="s">
        <v>897</v>
      </c>
      <c r="B235" s="676">
        <v>48138</v>
      </c>
      <c r="C235" s="9"/>
      <c r="D235" s="9"/>
      <c r="E235" s="9"/>
      <c r="F235" s="9"/>
      <c r="G235" s="9"/>
      <c r="H235" s="9"/>
    </row>
    <row r="236" spans="1:9">
      <c r="A236" s="677" t="s">
        <v>905</v>
      </c>
      <c r="B236" s="678">
        <v>10500</v>
      </c>
      <c r="C236" s="9"/>
      <c r="D236" s="9"/>
      <c r="E236" s="9"/>
      <c r="F236" s="9"/>
      <c r="G236" s="9"/>
      <c r="H236" s="9"/>
    </row>
    <row r="237" spans="1:9">
      <c r="A237" s="679" t="s">
        <v>907</v>
      </c>
      <c r="B237" s="678">
        <v>10100</v>
      </c>
      <c r="C237" s="9"/>
      <c r="D237" s="9"/>
      <c r="E237" s="9"/>
      <c r="F237" s="9"/>
      <c r="G237" s="9"/>
      <c r="H237" s="9"/>
    </row>
    <row r="238" spans="1:9">
      <c r="A238" s="679" t="s">
        <v>909</v>
      </c>
      <c r="B238" s="678">
        <v>5200</v>
      </c>
      <c r="C238" s="9"/>
      <c r="D238" s="9"/>
      <c r="E238" s="9"/>
      <c r="F238" s="9"/>
      <c r="G238" s="9"/>
      <c r="H238" s="9"/>
    </row>
    <row r="239" spans="1:9">
      <c r="A239" s="677" t="s">
        <v>911</v>
      </c>
      <c r="B239" s="678">
        <v>2420</v>
      </c>
      <c r="C239" s="9"/>
      <c r="D239" s="9"/>
      <c r="E239" s="9"/>
      <c r="F239" s="9"/>
      <c r="G239" s="9"/>
      <c r="H239" s="9"/>
    </row>
    <row r="240" spans="1:9">
      <c r="A240" s="677" t="s">
        <v>912</v>
      </c>
      <c r="B240" s="678">
        <v>1770</v>
      </c>
      <c r="C240" s="9"/>
      <c r="D240" s="9"/>
      <c r="E240" s="9"/>
      <c r="F240" s="9"/>
      <c r="G240" s="9"/>
      <c r="H240" s="9"/>
    </row>
    <row r="241" spans="1:8">
      <c r="A241" s="677" t="s">
        <v>914</v>
      </c>
      <c r="B241" s="678">
        <v>2000</v>
      </c>
      <c r="C241" s="9"/>
      <c r="D241" s="9"/>
      <c r="E241" s="9"/>
      <c r="F241" s="9"/>
      <c r="G241" s="9"/>
      <c r="H241" s="9"/>
    </row>
    <row r="242" spans="1:8">
      <c r="A242" s="677" t="s">
        <v>915</v>
      </c>
      <c r="B242" s="678">
        <v>550</v>
      </c>
      <c r="C242" s="9"/>
      <c r="D242" s="9"/>
      <c r="E242" s="9"/>
      <c r="F242" s="9"/>
      <c r="G242" s="9"/>
      <c r="H242" s="9"/>
    </row>
    <row r="243" spans="1:8">
      <c r="A243" s="677" t="s">
        <v>916</v>
      </c>
      <c r="B243" s="678">
        <v>2000</v>
      </c>
      <c r="C243" s="9"/>
      <c r="D243" s="9"/>
      <c r="E243" s="9"/>
      <c r="F243" s="9"/>
      <c r="G243" s="9"/>
      <c r="H243" s="9"/>
    </row>
    <row r="244" spans="1:8">
      <c r="A244" s="679" t="s">
        <v>1045</v>
      </c>
      <c r="B244" s="678">
        <v>1000</v>
      </c>
      <c r="C244" s="9"/>
      <c r="D244" s="9"/>
      <c r="E244" s="9"/>
      <c r="F244" s="9"/>
      <c r="G244" s="9"/>
      <c r="H244" s="9"/>
    </row>
    <row r="245" spans="1:8">
      <c r="A245" s="679" t="s">
        <v>1046</v>
      </c>
      <c r="B245" s="678">
        <v>5480</v>
      </c>
      <c r="C245" s="9"/>
      <c r="D245" s="9"/>
      <c r="E245" s="9"/>
      <c r="F245" s="9"/>
      <c r="G245" s="9"/>
      <c r="H245" s="9"/>
    </row>
    <row r="246" spans="1:8">
      <c r="A246" s="679" t="s">
        <v>919</v>
      </c>
      <c r="B246" s="678">
        <v>1000</v>
      </c>
      <c r="C246" s="9"/>
      <c r="D246" s="9"/>
      <c r="E246" s="9"/>
      <c r="F246" s="9"/>
      <c r="G246" s="9"/>
      <c r="H246" s="9"/>
    </row>
    <row r="247" spans="1:8">
      <c r="A247" s="679" t="s">
        <v>920</v>
      </c>
      <c r="B247" s="678">
        <v>1000</v>
      </c>
      <c r="C247" s="9"/>
      <c r="D247" s="9"/>
      <c r="E247" s="9"/>
      <c r="F247" s="9"/>
      <c r="G247" s="9"/>
      <c r="H247" s="9"/>
    </row>
    <row r="248" spans="1:8">
      <c r="A248" s="677" t="s">
        <v>924</v>
      </c>
      <c r="B248" s="678">
        <v>5232</v>
      </c>
      <c r="C248" s="9"/>
      <c r="D248" s="9"/>
      <c r="E248" s="9"/>
      <c r="F248" s="9"/>
      <c r="G248" s="9"/>
      <c r="H248" s="9"/>
    </row>
    <row r="249" spans="1:8">
      <c r="A249" s="677" t="s">
        <v>926</v>
      </c>
      <c r="B249" s="678">
        <v>2000</v>
      </c>
      <c r="C249" s="9"/>
      <c r="D249" s="9"/>
      <c r="E249" s="9"/>
      <c r="F249" s="9"/>
      <c r="G249" s="9"/>
      <c r="H249" s="9"/>
    </row>
    <row r="250" spans="1:8">
      <c r="A250" s="674" t="s">
        <v>934</v>
      </c>
      <c r="B250" s="678"/>
      <c r="C250" s="9"/>
      <c r="D250" s="9"/>
      <c r="E250" s="9"/>
      <c r="F250" s="9"/>
      <c r="G250" s="9"/>
      <c r="H250" s="9"/>
    </row>
    <row r="251" spans="1:8">
      <c r="A251" s="677" t="s">
        <v>933</v>
      </c>
      <c r="B251" s="678">
        <v>220</v>
      </c>
      <c r="C251" s="9"/>
      <c r="D251" s="9"/>
      <c r="E251" s="9"/>
      <c r="F251" s="9"/>
      <c r="G251" s="9"/>
      <c r="H251" s="9"/>
    </row>
    <row r="252" spans="1:8">
      <c r="A252" s="677" t="s">
        <v>1047</v>
      </c>
      <c r="B252" s="678">
        <v>2570</v>
      </c>
      <c r="C252" s="9"/>
      <c r="D252" s="9"/>
      <c r="E252" s="9"/>
      <c r="F252" s="9"/>
      <c r="G252" s="9"/>
      <c r="H252" s="9"/>
    </row>
    <row r="253" spans="1:8">
      <c r="A253" s="677" t="s">
        <v>1048</v>
      </c>
      <c r="B253" s="678">
        <v>12000</v>
      </c>
      <c r="C253" s="9"/>
      <c r="D253" s="9"/>
      <c r="E253" s="9"/>
      <c r="F253" s="9"/>
      <c r="G253" s="9"/>
      <c r="H253" s="9"/>
    </row>
    <row r="254" spans="1:8">
      <c r="A254" s="677" t="s">
        <v>949</v>
      </c>
      <c r="B254" s="678">
        <v>748</v>
      </c>
      <c r="C254" s="9"/>
      <c r="D254" s="9"/>
      <c r="E254" s="9"/>
      <c r="F254" s="9"/>
      <c r="G254" s="9"/>
      <c r="H254" s="9"/>
    </row>
    <row r="255" spans="1:8">
      <c r="A255" s="677" t="s">
        <v>950</v>
      </c>
      <c r="B255" s="678">
        <v>475</v>
      </c>
      <c r="C255" s="9"/>
      <c r="D255" s="9"/>
      <c r="E255" s="9"/>
      <c r="F255" s="9"/>
      <c r="G255" s="9"/>
      <c r="H255" s="9"/>
    </row>
    <row r="256" spans="1:8">
      <c r="A256" s="677" t="s">
        <v>955</v>
      </c>
      <c r="B256" s="678">
        <v>9000</v>
      </c>
      <c r="C256" s="9"/>
      <c r="D256" s="9"/>
      <c r="E256" s="9"/>
      <c r="F256" s="9"/>
      <c r="G256" s="9"/>
      <c r="H256" s="9"/>
    </row>
    <row r="257" spans="1:8">
      <c r="A257" s="677" t="s">
        <v>956</v>
      </c>
      <c r="B257" s="678">
        <v>5550</v>
      </c>
      <c r="C257" s="9"/>
      <c r="D257" s="9"/>
      <c r="E257" s="9"/>
      <c r="F257" s="9"/>
      <c r="G257" s="9"/>
      <c r="H257" s="9"/>
    </row>
    <row r="258" spans="1:8">
      <c r="A258" s="677" t="s">
        <v>964</v>
      </c>
      <c r="B258" s="678">
        <v>2500</v>
      </c>
      <c r="C258" s="9"/>
      <c r="D258" s="9"/>
      <c r="E258" s="9"/>
      <c r="F258" s="9"/>
      <c r="G258" s="9"/>
      <c r="H258" s="9"/>
    </row>
    <row r="259" spans="1:8">
      <c r="A259" s="677" t="s">
        <v>965</v>
      </c>
      <c r="B259" s="678">
        <v>900</v>
      </c>
    </row>
    <row r="260" spans="1:8">
      <c r="A260" s="677" t="s">
        <v>966</v>
      </c>
      <c r="B260" s="678">
        <v>465</v>
      </c>
    </row>
    <row r="261" spans="1:8">
      <c r="A261" s="677" t="s">
        <v>1049</v>
      </c>
      <c r="B261" s="678">
        <v>2500</v>
      </c>
    </row>
    <row r="262" spans="1:8">
      <c r="A262" s="774" t="s">
        <v>1050</v>
      </c>
      <c r="B262" s="775">
        <v>1000</v>
      </c>
    </row>
    <row r="263" spans="1:8">
      <c r="A263" s="772" t="s">
        <v>156</v>
      </c>
      <c r="B263" s="773">
        <f>SUM(B235:B262)</f>
        <v>136318</v>
      </c>
    </row>
  </sheetData>
  <mergeCells count="8">
    <mergeCell ref="A76:A77"/>
    <mergeCell ref="A81:A82"/>
    <mergeCell ref="L2:L3"/>
    <mergeCell ref="Q2:R2"/>
    <mergeCell ref="S2:U2"/>
    <mergeCell ref="A69:A70"/>
    <mergeCell ref="A71:A72"/>
    <mergeCell ref="A73:A74"/>
  </mergeCells>
  <pageMargins left="0.7" right="0.7" top="0.75" bottom="0.75" header="0.3" footer="0.3"/>
  <pageSetup paperSize="9"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4"/>
  <dimension ref="A1:O194"/>
  <sheetViews>
    <sheetView topLeftCell="A61" workbookViewId="0">
      <selection activeCell="B85" sqref="B85"/>
    </sheetView>
  </sheetViews>
  <sheetFormatPr defaultRowHeight="15"/>
  <cols>
    <col min="1" max="1" width="69" customWidth="1"/>
    <col min="2" max="3" width="13.28515625" customWidth="1"/>
    <col min="4" max="4" width="12.28515625" customWidth="1"/>
    <col min="5" max="5" width="13.42578125" customWidth="1"/>
    <col min="6" max="6" width="12" customWidth="1"/>
    <col min="7" max="7" width="12.7109375" bestFit="1" customWidth="1"/>
    <col min="8" max="8" width="12.5703125" customWidth="1"/>
    <col min="9" max="9" width="15.7109375" customWidth="1"/>
    <col min="10" max="11" width="12.5703125" customWidth="1"/>
    <col min="12" max="12" width="15.28515625" bestFit="1" customWidth="1"/>
    <col min="13" max="13" width="23.85546875" customWidth="1"/>
    <col min="14" max="14" width="15.85546875" customWidth="1"/>
    <col min="15" max="15" width="11.42578125" customWidth="1"/>
    <col min="16" max="16" width="40" customWidth="1"/>
    <col min="17" max="17" width="27.85546875" customWidth="1"/>
    <col min="18" max="18" width="19.7109375" customWidth="1"/>
    <col min="19" max="19" width="15.140625" customWidth="1"/>
  </cols>
  <sheetData>
    <row r="1" spans="1:15">
      <c r="A1" s="38" t="s">
        <v>1052</v>
      </c>
      <c r="B1" t="s">
        <v>1053</v>
      </c>
      <c r="M1" s="109" t="s">
        <v>122</v>
      </c>
    </row>
    <row r="2" spans="1:15">
      <c r="M2" s="38"/>
      <c r="N2" s="680" t="s">
        <v>409</v>
      </c>
      <c r="O2" s="680" t="s">
        <v>415</v>
      </c>
    </row>
    <row r="3" spans="1:15">
      <c r="A3" s="38"/>
      <c r="B3" s="38"/>
      <c r="C3" s="38"/>
      <c r="M3" s="109" t="s">
        <v>1054</v>
      </c>
      <c r="N3" s="417" t="s">
        <v>1051</v>
      </c>
      <c r="O3" s="417" t="s">
        <v>1051</v>
      </c>
    </row>
    <row r="4" spans="1:15">
      <c r="A4" s="38" t="s">
        <v>1055</v>
      </c>
      <c r="B4" s="38" t="s">
        <v>1056</v>
      </c>
      <c r="C4" s="38" t="s">
        <v>1057</v>
      </c>
      <c r="M4" s="520" t="s">
        <v>1058</v>
      </c>
      <c r="N4" s="681">
        <f>SUM(B17:B18)</f>
        <v>97.160397200000006</v>
      </c>
      <c r="O4" s="681">
        <f>SUM(C17:C18)</f>
        <v>94.970963155999996</v>
      </c>
    </row>
    <row r="5" spans="1:15">
      <c r="A5" s="86" t="s">
        <v>1059</v>
      </c>
      <c r="B5">
        <v>144.16399999999999</v>
      </c>
      <c r="C5">
        <v>247.66300000000001</v>
      </c>
      <c r="M5" s="86" t="s">
        <v>1060</v>
      </c>
      <c r="N5" s="681">
        <f>SUM(B5:B7,B11)</f>
        <v>164.09399999999999</v>
      </c>
      <c r="O5" s="681">
        <f>SUM(C5:C7,C11)</f>
        <v>276.84800000000001</v>
      </c>
    </row>
    <row r="6" spans="1:15">
      <c r="A6" t="s">
        <v>1061</v>
      </c>
      <c r="B6" s="176">
        <v>6.2320000000000002</v>
      </c>
      <c r="C6" s="176">
        <v>7.9039999999999999</v>
      </c>
      <c r="E6" t="s">
        <v>1062</v>
      </c>
      <c r="M6" s="520" t="s">
        <v>1063</v>
      </c>
      <c r="N6" s="681">
        <f>SUM(B8:B10)</f>
        <v>79.219277777777776</v>
      </c>
      <c r="O6" s="681">
        <f>SUM(C8:C10)</f>
        <v>90.860788888888877</v>
      </c>
    </row>
    <row r="7" spans="1:15">
      <c r="A7" t="s">
        <v>1064</v>
      </c>
      <c r="B7" s="176">
        <v>9.375</v>
      </c>
      <c r="C7" s="176">
        <v>13.824999999999999</v>
      </c>
      <c r="M7" s="682" t="s">
        <v>1065</v>
      </c>
      <c r="N7" s="683">
        <f>SUM(B12:B16)</f>
        <v>28.552</v>
      </c>
      <c r="O7" s="683">
        <f>SUM(C12:C16)</f>
        <v>52.397999999999996</v>
      </c>
    </row>
    <row r="8" spans="1:15">
      <c r="A8" t="s">
        <v>1066</v>
      </c>
      <c r="B8" s="176">
        <v>39.835000000000001</v>
      </c>
      <c r="C8" s="176">
        <v>45.595999999999997</v>
      </c>
      <c r="E8" t="s">
        <v>1067</v>
      </c>
      <c r="M8" s="684" t="s">
        <v>156</v>
      </c>
      <c r="N8" s="685">
        <f>SUM(N4:N7)</f>
        <v>369.02567497777778</v>
      </c>
      <c r="O8" s="685">
        <f>SUM(O4:O7)</f>
        <v>515.07775204488883</v>
      </c>
    </row>
    <row r="9" spans="1:15">
      <c r="A9" t="s">
        <v>1068</v>
      </c>
      <c r="B9" s="176">
        <v>23.26</v>
      </c>
      <c r="C9" s="176">
        <v>26.771000000000001</v>
      </c>
    </row>
    <row r="10" spans="1:15">
      <c r="A10" t="s">
        <v>1069</v>
      </c>
      <c r="B10" s="176">
        <f>(2300/9000)*SUM(B8:B9)</f>
        <v>16.124277777777777</v>
      </c>
      <c r="C10" s="176">
        <f>(2300/9000)*SUM(C8:C9)</f>
        <v>18.493788888888886</v>
      </c>
      <c r="E10" t="s">
        <v>1070</v>
      </c>
    </row>
    <row r="11" spans="1:15">
      <c r="A11" t="s">
        <v>1071</v>
      </c>
      <c r="B11" s="176">
        <v>4.3230000000000004</v>
      </c>
      <c r="C11" s="176">
        <v>7.4560000000000004</v>
      </c>
    </row>
    <row r="12" spans="1:15">
      <c r="A12" t="s">
        <v>1072</v>
      </c>
      <c r="B12" s="176">
        <v>10.335000000000001</v>
      </c>
      <c r="C12" s="176">
        <v>16.495000000000001</v>
      </c>
    </row>
    <row r="13" spans="1:15">
      <c r="A13" t="s">
        <v>1073</v>
      </c>
      <c r="B13" s="176">
        <f>D64</f>
        <v>8.1140000000000008</v>
      </c>
      <c r="C13" s="176">
        <f>E64</f>
        <v>9.7889999999999997</v>
      </c>
    </row>
    <row r="14" spans="1:15">
      <c r="A14" t="s">
        <v>1074</v>
      </c>
      <c r="B14" s="176">
        <f>D63</f>
        <v>5.1529999999999996</v>
      </c>
      <c r="C14" s="176">
        <f>E63</f>
        <v>8.1140000000000008</v>
      </c>
    </row>
    <row r="15" spans="1:15">
      <c r="A15" t="s">
        <v>1075</v>
      </c>
      <c r="B15" s="176">
        <f>D65</f>
        <v>2.2000000000000002</v>
      </c>
      <c r="C15" s="176">
        <f>E65</f>
        <v>9</v>
      </c>
    </row>
    <row r="16" spans="1:15">
      <c r="A16" t="s">
        <v>1076</v>
      </c>
      <c r="B16" s="176">
        <f>D66</f>
        <v>2.75</v>
      </c>
      <c r="C16" s="176">
        <f>E66</f>
        <v>9</v>
      </c>
    </row>
    <row r="17" spans="1:13">
      <c r="A17" t="s">
        <v>1077</v>
      </c>
      <c r="B17" s="176">
        <f>K49/1000000</f>
        <v>14.2603972</v>
      </c>
      <c r="C17" s="176">
        <f>K54/1000000</f>
        <v>13.470963156</v>
      </c>
    </row>
    <row r="18" spans="1:13">
      <c r="A18" t="s">
        <v>1078</v>
      </c>
      <c r="B18" s="176">
        <v>82.9</v>
      </c>
      <c r="C18" s="176">
        <v>81.5</v>
      </c>
      <c r="D18" t="s">
        <v>1079</v>
      </c>
      <c r="E18" t="s">
        <v>1080</v>
      </c>
    </row>
    <row r="19" spans="1:13">
      <c r="A19" s="38" t="s">
        <v>156</v>
      </c>
      <c r="B19" s="686">
        <f>SUM(B4:B18)</f>
        <v>369.02567497777773</v>
      </c>
      <c r="C19" s="686">
        <f>SUM(C4:C18)</f>
        <v>515.07775204488894</v>
      </c>
      <c r="E19" t="s">
        <v>1081</v>
      </c>
    </row>
    <row r="20" spans="1:13">
      <c r="A20" s="38"/>
      <c r="B20" s="686"/>
      <c r="C20" s="686"/>
    </row>
    <row r="21" spans="1:13">
      <c r="A21" s="86" t="s">
        <v>1082</v>
      </c>
      <c r="B21" s="176">
        <f>38+10</f>
        <v>48</v>
      </c>
      <c r="C21" s="176">
        <f>B21</f>
        <v>48</v>
      </c>
      <c r="L21" s="95"/>
      <c r="M21" s="47"/>
    </row>
    <row r="22" spans="1:13">
      <c r="J22" s="95"/>
      <c r="K22" s="95"/>
      <c r="L22" s="149"/>
    </row>
    <row r="23" spans="1:13">
      <c r="A23" s="109" t="s">
        <v>1083</v>
      </c>
      <c r="B23" s="109" t="s">
        <v>250</v>
      </c>
      <c r="C23" s="109" t="s">
        <v>1084</v>
      </c>
      <c r="D23" s="109" t="s">
        <v>252</v>
      </c>
      <c r="E23" s="529" t="s">
        <v>156</v>
      </c>
      <c r="F23" s="529" t="s">
        <v>1085</v>
      </c>
      <c r="G23" s="684"/>
      <c r="I23" s="350"/>
      <c r="J23" s="6"/>
      <c r="K23" s="6"/>
      <c r="L23" s="6"/>
      <c r="M23" s="776"/>
    </row>
    <row r="24" spans="1:13">
      <c r="A24" s="506" t="s">
        <v>1086</v>
      </c>
      <c r="B24" s="6"/>
      <c r="C24" s="6"/>
      <c r="D24" s="6"/>
      <c r="E24" s="684"/>
      <c r="F24" s="684"/>
      <c r="G24" s="684"/>
      <c r="I24" s="38"/>
      <c r="J24" s="687"/>
      <c r="K24" s="687"/>
      <c r="L24" s="687"/>
      <c r="M24" s="687"/>
    </row>
    <row r="25" spans="1:13">
      <c r="A25" s="38" t="s">
        <v>1087</v>
      </c>
      <c r="B25" s="688">
        <f>('DHB Stats'!$L$59*'DHB Stats'!AG59/'DHB Stats'!$Z$59)/1000</f>
        <v>1925.55299036</v>
      </c>
      <c r="C25" s="688">
        <f>('DHB Stats'!$L$59*'DHB Stats'!AH59/'DHB Stats'!$Z$59)/1000</f>
        <v>2396.9816639400001</v>
      </c>
      <c r="D25" s="688">
        <f>('DHB Stats'!$L$59*'DHB Stats'!AI59/'DHB Stats'!$Z$59)/1000</f>
        <v>1864.380701489999</v>
      </c>
      <c r="E25" s="149">
        <f>SUM(B25:D25)</f>
        <v>6186.915355789999</v>
      </c>
      <c r="F25" s="89"/>
      <c r="G25" s="130"/>
      <c r="J25" s="149"/>
      <c r="K25" s="149"/>
      <c r="L25" s="149"/>
      <c r="M25" s="149"/>
    </row>
    <row r="26" spans="1:13">
      <c r="A26" s="38" t="s">
        <v>1088</v>
      </c>
      <c r="B26" s="688">
        <f>SUM(B17:B18)</f>
        <v>97.160397200000006</v>
      </c>
      <c r="C26" s="688">
        <f>SUM(B5:B7,B11)</f>
        <v>164.09399999999999</v>
      </c>
      <c r="D26" s="688">
        <f>SUM(B8:B10,B12:B16)</f>
        <v>107.77127777777778</v>
      </c>
      <c r="E26" s="688">
        <f>SUM(B26:D26)</f>
        <v>369.02567497777773</v>
      </c>
      <c r="I26" s="689"/>
      <c r="J26" s="149"/>
      <c r="K26" s="149"/>
      <c r="L26" s="149"/>
    </row>
    <row r="27" spans="1:13">
      <c r="A27" s="38" t="s">
        <v>1089</v>
      </c>
      <c r="B27" s="89">
        <f>B26/B25</f>
        <v>5.0458438529824602E-2</v>
      </c>
      <c r="C27" s="89">
        <f>C26/C25</f>
        <v>6.8458596270725369E-2</v>
      </c>
      <c r="D27" s="89">
        <f>D26/D25</f>
        <v>5.7805402990734563E-2</v>
      </c>
      <c r="E27" s="89">
        <f>E26/E25</f>
        <v>5.9646148970250029E-2</v>
      </c>
      <c r="F27" s="89">
        <f>Demographics!AD27</f>
        <v>2.4621636973036987E-2</v>
      </c>
      <c r="G27" s="89"/>
      <c r="I27" s="103"/>
      <c r="J27" s="149"/>
      <c r="K27" s="149"/>
      <c r="L27" s="149"/>
      <c r="M27" s="130"/>
    </row>
    <row r="28" spans="1:13">
      <c r="A28" s="38" t="s">
        <v>1090</v>
      </c>
      <c r="B28" s="688">
        <f>M49/1000000</f>
        <v>10.998900000000001</v>
      </c>
      <c r="C28" s="688">
        <f>2000*'[4]YTD FTE'!$F$487/1000000</f>
        <v>57.366034920604498</v>
      </c>
      <c r="D28" s="688"/>
      <c r="E28" s="688">
        <f>SUM(B28:D28)</f>
        <v>68.364934920604497</v>
      </c>
      <c r="F28" s="176"/>
      <c r="G28" s="89"/>
      <c r="I28" s="103"/>
      <c r="J28" s="130"/>
      <c r="K28" s="149"/>
      <c r="L28" s="149"/>
    </row>
    <row r="29" spans="1:13">
      <c r="A29" s="38" t="s">
        <v>1091</v>
      </c>
      <c r="B29" s="89">
        <f>(B26-B28)/B25</f>
        <v>4.474636513840697E-2</v>
      </c>
      <c r="C29" s="89">
        <f>(C26-C28)/C25</f>
        <v>4.452598310825754E-2</v>
      </c>
      <c r="D29" s="89">
        <f>(D26-D28)/D25</f>
        <v>5.7805402990734563E-2</v>
      </c>
      <c r="E29" s="89">
        <f>(E26-E28)/E25</f>
        <v>4.8596226514688159E-2</v>
      </c>
      <c r="F29" s="176"/>
      <c r="G29" s="89"/>
      <c r="I29" s="350"/>
      <c r="J29" s="149"/>
      <c r="K29" s="149"/>
      <c r="L29" s="149"/>
      <c r="M29" s="149"/>
    </row>
    <row r="30" spans="1:13">
      <c r="A30" s="38" t="s">
        <v>1092</v>
      </c>
      <c r="B30" s="688">
        <f>B25+B26</f>
        <v>2022.71338756</v>
      </c>
      <c r="C30" s="688">
        <f>C25+C26</f>
        <v>2561.0756639400001</v>
      </c>
      <c r="D30" s="688">
        <f>D25+D26</f>
        <v>1972.1519792677768</v>
      </c>
      <c r="E30" s="688">
        <f>E25+E26</f>
        <v>6555.9410307677772</v>
      </c>
      <c r="I30" s="103"/>
      <c r="J30" s="149"/>
      <c r="K30" s="149"/>
      <c r="L30" s="149"/>
    </row>
    <row r="31" spans="1:13">
      <c r="A31" s="38" t="s">
        <v>1093</v>
      </c>
      <c r="B31" s="688">
        <f>B30-B28</f>
        <v>2011.71448756</v>
      </c>
      <c r="C31" s="688">
        <f>C30-C28</f>
        <v>2503.7096290193958</v>
      </c>
      <c r="D31" s="688">
        <f>D30-D28</f>
        <v>1972.1519792677768</v>
      </c>
      <c r="E31" s="688">
        <f>E30-E28</f>
        <v>6487.5760958471728</v>
      </c>
      <c r="I31" s="689"/>
      <c r="J31" s="149"/>
      <c r="K31" s="149"/>
      <c r="L31" s="149"/>
    </row>
    <row r="32" spans="1:13">
      <c r="A32" s="38" t="s">
        <v>1094</v>
      </c>
      <c r="B32" s="688">
        <f>B31*(1+$F$27)</f>
        <v>2061.2461913661014</v>
      </c>
      <c r="C32" s="688">
        <f>C31*(1+$F$27)</f>
        <v>2565.3550585910084</v>
      </c>
      <c r="D32" s="688">
        <f>D31*(1+$F$27)</f>
        <v>2020.7095893569644</v>
      </c>
      <c r="E32" s="688">
        <f>E31*(1+$F$27)</f>
        <v>6647.3108393140747</v>
      </c>
      <c r="I32" s="689"/>
      <c r="J32" s="149"/>
      <c r="K32" s="149"/>
      <c r="L32" s="149"/>
    </row>
    <row r="33" spans="1:15">
      <c r="A33" s="38" t="s">
        <v>1095</v>
      </c>
      <c r="B33" s="688">
        <f>B25*(1+$F$27)</f>
        <v>1972.9632570609897</v>
      </c>
      <c r="C33" s="688">
        <f>C25*(1+$F$27)</f>
        <v>2455.9992763005571</v>
      </c>
      <c r="D33" s="688">
        <f>D25*(1+$F$27)</f>
        <v>1910.2848063016218</v>
      </c>
      <c r="E33" s="688">
        <f>E25*(1+$F$27)</f>
        <v>6339.2473396631685</v>
      </c>
    </row>
    <row r="34" spans="1:15">
      <c r="A34" s="38"/>
      <c r="B34" s="688"/>
      <c r="C34" s="688"/>
      <c r="D34" s="688"/>
      <c r="E34" s="688"/>
    </row>
    <row r="35" spans="1:15">
      <c r="A35" s="109" t="s">
        <v>1096</v>
      </c>
      <c r="B35" s="130"/>
      <c r="C35" s="130"/>
      <c r="D35" s="130"/>
      <c r="E35" s="130"/>
      <c r="F35" s="149"/>
    </row>
    <row r="36" spans="1:15">
      <c r="A36" s="38" t="s">
        <v>1087</v>
      </c>
      <c r="B36" s="688">
        <f>$E$36*'DHB Stats'!AK59/'DHB Stats'!$AA$59</f>
        <v>2045.8627009438767</v>
      </c>
      <c r="C36" s="688">
        <f>$E$36*'DHB Stats'!AL59/'DHB Stats'!$AA$59</f>
        <v>2510.714251667549</v>
      </c>
      <c r="D36" s="688">
        <f>$E$36*'DHB Stats'!AM59/'DHB Stats'!$AA$59</f>
        <v>1946.7186314630649</v>
      </c>
      <c r="E36" s="690">
        <f>('Health Vote 2019-20 post-Budget'!DHBProviderProportion19*'Health Vote 2019-20 post-Budget'!C32*'Health Vote 2019-20 post-Budget'!LabourProportion19)/1000</f>
        <v>6503.2955840744908</v>
      </c>
      <c r="F36" t="s">
        <v>1097</v>
      </c>
      <c r="G36" s="690" t="s">
        <v>1098</v>
      </c>
      <c r="I36" s="89"/>
    </row>
    <row r="37" spans="1:15">
      <c r="A37" s="38" t="s">
        <v>1088</v>
      </c>
      <c r="B37" s="688">
        <f>SUM(C17:C18)</f>
        <v>94.970963155999996</v>
      </c>
      <c r="C37" s="688">
        <f>SUM(C5:C7,C11)</f>
        <v>276.84800000000001</v>
      </c>
      <c r="D37" s="688">
        <f>SUM(C8:C10,C12:C16)</f>
        <v>143.25878888888889</v>
      </c>
      <c r="E37" s="688">
        <f>SUM(B37:D37)</f>
        <v>515.07775204488894</v>
      </c>
      <c r="F37" s="130"/>
      <c r="G37" t="s">
        <v>1099</v>
      </c>
      <c r="N37" s="688">
        <f>'[4]Ave FTE cost'!$V$521/1000</f>
        <v>6677.8828506666678</v>
      </c>
      <c r="O37" s="89">
        <f>N37/E25-1</f>
        <v>7.9355780165506706E-2</v>
      </c>
    </row>
    <row r="38" spans="1:15">
      <c r="A38" s="38" t="s">
        <v>1089</v>
      </c>
      <c r="B38" s="89">
        <f>B37/B36</f>
        <v>4.6420985685981915E-2</v>
      </c>
      <c r="C38" s="89">
        <f>C37/C36</f>
        <v>0.11026663022927639</v>
      </c>
      <c r="D38" s="89">
        <f>D37/D36</f>
        <v>7.3589879181061787E-2</v>
      </c>
      <c r="E38" s="89">
        <f>E37/E36</f>
        <v>7.9202574354182861E-2</v>
      </c>
      <c r="F38" s="89">
        <f>Demographics!AE27</f>
        <v>2.3278682332490863E-2</v>
      </c>
      <c r="N38" s="130"/>
    </row>
    <row r="39" spans="1:15">
      <c r="A39" s="38" t="s">
        <v>1092</v>
      </c>
      <c r="B39" s="688">
        <f>B25+B37</f>
        <v>2020.5239535159999</v>
      </c>
      <c r="C39" s="688">
        <f>C25+C37</f>
        <v>2673.82966394</v>
      </c>
      <c r="D39" s="688">
        <f>D25+D37</f>
        <v>2007.6394903788878</v>
      </c>
      <c r="E39" s="688">
        <f>E25+E37</f>
        <v>6701.9931078348882</v>
      </c>
      <c r="F39" s="89"/>
    </row>
    <row r="40" spans="1:15">
      <c r="A40" s="691" t="s">
        <v>1100</v>
      </c>
      <c r="B40" s="688">
        <f>((B25+B26-B28)*(1+$F$27)+(B37-(B26-B28)))*(1+$F$38)</f>
        <v>2118.2438253794785</v>
      </c>
      <c r="C40" s="688">
        <f>((C25+C26-C28)*(1+$F$27)+(C37-(C26-C28)))*(1+$F$38)</f>
        <v>2799.1533492419107</v>
      </c>
      <c r="D40" s="688">
        <f>((D25+D26-D28)*(1+$F$27)+(D37-(D26-D28)))*(1+$F$38)</f>
        <v>2104.0626595828603</v>
      </c>
      <c r="E40" s="688">
        <f>((E25+E26-E28)*(1+$F$27)+(E37-(E26-E28)))*(1+$F$38)</f>
        <v>7021.4598342042491</v>
      </c>
      <c r="F40" s="688"/>
      <c r="K40" s="197"/>
    </row>
    <row r="41" spans="1:15">
      <c r="A41" s="38" t="s">
        <v>1101</v>
      </c>
      <c r="B41" s="688">
        <f>'Health Vote 2019-20 post-Budget'!C32*(1+'Health Vote 2019-20 post-Budget'!D32)*'Health Vote 2019-20 post-Budget'!E32*(1+$F$38)/1000</f>
        <v>2190.6694508931605</v>
      </c>
      <c r="C41" s="688">
        <f>'Health Vote 2019-20 post-Budget'!C32*(1+'Health Vote 2019-20 post-Budget'!F32)*'Health Vote 2019-20 post-Budget'!G32*(1+'Notes 2019-20 post-Budget'!F38)/1000</f>
        <v>2852.4530278061611</v>
      </c>
      <c r="D41" s="688">
        <f>'Health Vote 2019-20 post-Budget'!C32*(1+'Health Vote 2019-20 post-Budget'!H32)*'Health Vote 2019-20 post-Budget'!I32*(1+'Notes 2019-20 post-Budget'!F38)/1000</f>
        <v>2138.6293408024053</v>
      </c>
      <c r="E41" s="688">
        <f>SUM(B41:D41)</f>
        <v>7181.7518195017274</v>
      </c>
      <c r="F41" s="89"/>
      <c r="G41" s="692" t="s">
        <v>1102</v>
      </c>
      <c r="H41" s="214"/>
      <c r="I41" s="693">
        <f>E41-E40</f>
        <v>160.29198529747828</v>
      </c>
      <c r="J41" s="130"/>
      <c r="K41" s="130"/>
      <c r="L41" s="694"/>
    </row>
    <row r="42" spans="1:15">
      <c r="B42" s="89"/>
      <c r="C42" s="89"/>
      <c r="D42" s="89"/>
      <c r="E42" s="89"/>
      <c r="F42" s="688"/>
      <c r="G42" s="89"/>
      <c r="L42" s="694"/>
    </row>
    <row r="43" spans="1:15">
      <c r="A43" s="691" t="s">
        <v>1103</v>
      </c>
      <c r="B43" s="89">
        <f>(B37-(B26-B28))/B31</f>
        <v>4.3790836177180197E-3</v>
      </c>
      <c r="C43" s="89">
        <f>(C37-(C26-C28))/C31</f>
        <v>6.79471904204937E-2</v>
      </c>
      <c r="D43" s="89">
        <f>(D37-(D26-D28))/D31</f>
        <v>1.7994308493550763E-2</v>
      </c>
      <c r="E43" s="89">
        <f>(E37-(E26-E28))/E31</f>
        <v>3.3050404160186779E-2</v>
      </c>
      <c r="F43" s="89"/>
      <c r="G43" s="469"/>
      <c r="H43" s="469"/>
      <c r="I43" s="469"/>
      <c r="J43" s="469"/>
    </row>
    <row r="44" spans="1:15">
      <c r="A44" s="691"/>
      <c r="B44" s="89"/>
      <c r="C44" s="89"/>
      <c r="D44" s="89"/>
      <c r="E44" s="89"/>
      <c r="F44" s="89"/>
      <c r="G44" s="469"/>
      <c r="H44" s="469"/>
      <c r="I44" s="469"/>
      <c r="J44" s="469"/>
    </row>
    <row r="45" spans="1:15">
      <c r="A45" s="777" t="s">
        <v>1202</v>
      </c>
      <c r="B45" s="688"/>
      <c r="C45" s="688"/>
      <c r="D45" s="688"/>
      <c r="E45" s="688"/>
      <c r="F45" s="95"/>
      <c r="H45" s="688"/>
      <c r="I45" s="688"/>
      <c r="J45" s="688"/>
      <c r="K45" s="688"/>
    </row>
    <row r="46" spans="1:15" ht="60">
      <c r="A46" s="680" t="s">
        <v>1104</v>
      </c>
      <c r="B46" s="680" t="s">
        <v>1105</v>
      </c>
      <c r="C46" s="413" t="s">
        <v>1106</v>
      </c>
      <c r="D46" s="144"/>
      <c r="E46" s="144"/>
      <c r="F46" s="144"/>
      <c r="G46" s="144"/>
      <c r="H46" s="413" t="s">
        <v>1107</v>
      </c>
      <c r="I46" s="413" t="s">
        <v>1108</v>
      </c>
      <c r="J46" s="413" t="s">
        <v>1109</v>
      </c>
      <c r="K46" s="413" t="s">
        <v>1110</v>
      </c>
      <c r="M46" s="413" t="s">
        <v>1111</v>
      </c>
      <c r="N46" s="413" t="s">
        <v>1112</v>
      </c>
    </row>
    <row r="47" spans="1:15">
      <c r="A47" t="s">
        <v>1113</v>
      </c>
      <c r="B47" s="695">
        <v>94328</v>
      </c>
      <c r="C47" s="144">
        <v>1481</v>
      </c>
      <c r="D47" t="s">
        <v>1114</v>
      </c>
      <c r="G47" s="696"/>
      <c r="H47" s="697">
        <f>B47*C47</f>
        <v>139699768</v>
      </c>
      <c r="I47">
        <v>0</v>
      </c>
      <c r="J47" s="697">
        <f>H47*2.5%/4+C47*2300</f>
        <v>4279423.55</v>
      </c>
      <c r="K47" s="95">
        <f>SUM(I47:J47)</f>
        <v>4279423.55</v>
      </c>
      <c r="M47" s="697">
        <f>2300*C47</f>
        <v>3406300</v>
      </c>
      <c r="N47" s="95">
        <f>K47-M47</f>
        <v>873123.54999999981</v>
      </c>
    </row>
    <row r="48" spans="1:15">
      <c r="A48" t="s">
        <v>1115</v>
      </c>
      <c r="B48" s="695">
        <v>130068</v>
      </c>
      <c r="C48" s="144">
        <v>2838</v>
      </c>
      <c r="D48" t="s">
        <v>1116</v>
      </c>
      <c r="G48" s="696"/>
      <c r="H48" s="697">
        <f>B48*C48</f>
        <v>369132984</v>
      </c>
      <c r="I48" s="697">
        <f>(B48*100*2.5%/2)+(2000*100)</f>
        <v>362585</v>
      </c>
      <c r="J48" s="697">
        <f>B48*(C48-100)*2.5%/4+(C48-100)*2700</f>
        <v>9618388.6500000004</v>
      </c>
      <c r="K48" s="95">
        <f>SUM(I48:J48)</f>
        <v>9980973.6500000004</v>
      </c>
      <c r="M48" s="697">
        <f>2000*100+2700*(C48-100)</f>
        <v>7592600</v>
      </c>
      <c r="N48" s="95">
        <f>K48-M48</f>
        <v>2388373.6500000004</v>
      </c>
    </row>
    <row r="49" spans="1:14">
      <c r="A49" s="38" t="s">
        <v>156</v>
      </c>
      <c r="B49" s="144"/>
      <c r="C49" s="144">
        <f>SUM(C47:C48)</f>
        <v>4319</v>
      </c>
      <c r="H49" s="696">
        <f>SUM(H47:H48)</f>
        <v>508832752</v>
      </c>
      <c r="I49" s="697">
        <f>SUM(I47:I48)</f>
        <v>362585</v>
      </c>
      <c r="J49" s="696">
        <f>SUM(J47:J48)</f>
        <v>13897812.199999999</v>
      </c>
      <c r="K49" s="698">
        <f>SUM(K47:K48)</f>
        <v>14260397.199999999</v>
      </c>
      <c r="M49" s="699">
        <f>SUM(M47:M48)</f>
        <v>10998900</v>
      </c>
      <c r="N49" s="438">
        <f>K49-M49</f>
        <v>3261497.1999999993</v>
      </c>
    </row>
    <row r="50" spans="1:14">
      <c r="A50" s="38"/>
    </row>
    <row r="51" spans="1:14" ht="45">
      <c r="B51" s="680" t="s">
        <v>1105</v>
      </c>
      <c r="C51" s="413" t="s">
        <v>1106</v>
      </c>
      <c r="H51" s="413"/>
      <c r="I51" s="413" t="s">
        <v>1117</v>
      </c>
      <c r="J51" s="413" t="s">
        <v>1118</v>
      </c>
      <c r="K51" s="413" t="s">
        <v>1119</v>
      </c>
    </row>
    <row r="52" spans="1:14">
      <c r="A52" t="s">
        <v>1113</v>
      </c>
      <c r="B52" s="695">
        <f>B47*(1+2.5%)</f>
        <v>96686.2</v>
      </c>
      <c r="C52" s="144">
        <v>1481</v>
      </c>
      <c r="D52" t="s">
        <v>1114</v>
      </c>
      <c r="F52" s="38"/>
      <c r="G52">
        <f>2.5%*B47*C47</f>
        <v>3492494.2</v>
      </c>
      <c r="I52">
        <v>0</v>
      </c>
      <c r="J52" s="697">
        <f>(B47*C47*2.5%*75%)+(B52*C52*3%/4)</f>
        <v>3693312.6165000005</v>
      </c>
      <c r="K52" s="95">
        <f>SUM(I52:J52)</f>
        <v>3693312.6165000005</v>
      </c>
      <c r="N52" s="700"/>
    </row>
    <row r="53" spans="1:14">
      <c r="A53" t="s">
        <v>1115</v>
      </c>
      <c r="B53" s="695">
        <f>B48*(1+2.5%)</f>
        <v>133319.69999999998</v>
      </c>
      <c r="C53" s="144">
        <v>2838</v>
      </c>
      <c r="D53" t="s">
        <v>1116</v>
      </c>
      <c r="I53" s="696">
        <f>(B48*100*2.5%/2)+(100*B53*3%/2)</f>
        <v>362564.54999999993</v>
      </c>
      <c r="J53" s="697">
        <f>(B48*2738*2.5%*75%)+(B53*2738*3%*25%)</f>
        <v>9415085.9894999992</v>
      </c>
      <c r="K53" s="95">
        <f>SUM(I53:J53)</f>
        <v>9777650.5395</v>
      </c>
      <c r="N53" s="700"/>
    </row>
    <row r="54" spans="1:14">
      <c r="B54" s="695"/>
      <c r="C54" s="144">
        <f>SUM(C52:C53)</f>
        <v>4319</v>
      </c>
      <c r="K54" s="701">
        <f>SUM(K52:K53)</f>
        <v>13470963.155999999</v>
      </c>
      <c r="M54">
        <v>13470963.155999999</v>
      </c>
      <c r="N54" s="95">
        <f>M54-K54</f>
        <v>0</v>
      </c>
    </row>
    <row r="59" spans="1:14">
      <c r="A59" t="s">
        <v>1120</v>
      </c>
    </row>
    <row r="62" spans="1:14" ht="45">
      <c r="A62" s="38" t="s">
        <v>1121</v>
      </c>
      <c r="B62" s="413" t="s">
        <v>1122</v>
      </c>
      <c r="C62" s="680" t="s">
        <v>1123</v>
      </c>
      <c r="D62" s="413" t="s">
        <v>1124</v>
      </c>
      <c r="E62" s="413" t="s">
        <v>1125</v>
      </c>
    </row>
    <row r="63" spans="1:14">
      <c r="A63" t="s">
        <v>1126</v>
      </c>
      <c r="B63" s="144">
        <v>128</v>
      </c>
      <c r="C63" s="702">
        <v>0.41199999999999998</v>
      </c>
      <c r="D63">
        <v>5.1529999999999996</v>
      </c>
      <c r="E63">
        <v>8.1140000000000008</v>
      </c>
      <c r="H63" t="s">
        <v>1127</v>
      </c>
    </row>
    <row r="64" spans="1:14">
      <c r="A64" t="s">
        <v>1128</v>
      </c>
      <c r="B64" s="144">
        <v>74.5</v>
      </c>
      <c r="C64" s="702">
        <v>0.24</v>
      </c>
      <c r="D64">
        <v>8.1140000000000008</v>
      </c>
      <c r="E64">
        <v>9.7889999999999997</v>
      </c>
      <c r="H64" t="s">
        <v>1129</v>
      </c>
    </row>
    <row r="65" spans="1:10">
      <c r="A65" t="s">
        <v>1130</v>
      </c>
      <c r="B65" s="144">
        <v>49</v>
      </c>
      <c r="C65" s="702">
        <v>0.158</v>
      </c>
      <c r="D65" s="703">
        <v>2.2000000000000002</v>
      </c>
      <c r="E65" s="703">
        <v>9</v>
      </c>
      <c r="F65" s="703" t="s">
        <v>1131</v>
      </c>
      <c r="H65" t="s">
        <v>1132</v>
      </c>
      <c r="J65" s="176">
        <f>B11</f>
        <v>4.3230000000000004</v>
      </c>
    </row>
    <row r="66" spans="1:10">
      <c r="A66" t="s">
        <v>1133</v>
      </c>
      <c r="B66" s="144">
        <v>59.3</v>
      </c>
      <c r="C66" s="702">
        <v>0.191</v>
      </c>
      <c r="D66" s="703">
        <v>2.75</v>
      </c>
      <c r="E66" s="703">
        <v>9</v>
      </c>
      <c r="F66" s="703" t="s">
        <v>1131</v>
      </c>
      <c r="H66" t="s">
        <v>1134</v>
      </c>
    </row>
    <row r="67" spans="1:10">
      <c r="A67" s="38" t="s">
        <v>156</v>
      </c>
      <c r="B67" s="680">
        <f>SUM(B63:B66)</f>
        <v>310.8</v>
      </c>
      <c r="C67" s="704">
        <v>1</v>
      </c>
    </row>
    <row r="70" spans="1:10">
      <c r="A70" t="s">
        <v>1135</v>
      </c>
    </row>
    <row r="71" spans="1:10">
      <c r="A71" t="s">
        <v>1136</v>
      </c>
    </row>
    <row r="73" spans="1:10">
      <c r="A73" t="s">
        <v>1137</v>
      </c>
    </row>
    <row r="76" spans="1:10">
      <c r="A76" s="109" t="s">
        <v>1138</v>
      </c>
    </row>
    <row r="77" spans="1:10">
      <c r="B77" s="417" t="s">
        <v>1051</v>
      </c>
      <c r="C77" s="109" t="s">
        <v>290</v>
      </c>
    </row>
    <row r="78" spans="1:10">
      <c r="A78" t="s">
        <v>1139</v>
      </c>
      <c r="B78" s="47">
        <v>1476</v>
      </c>
    </row>
    <row r="79" spans="1:10">
      <c r="A79" t="s">
        <v>1140</v>
      </c>
      <c r="B79" s="47">
        <v>1530</v>
      </c>
      <c r="C79" s="89">
        <f>B79/B78-1</f>
        <v>3.6585365853658569E-2</v>
      </c>
    </row>
    <row r="81" spans="1:8">
      <c r="C81" s="417" t="s">
        <v>409</v>
      </c>
      <c r="D81" s="417" t="s">
        <v>290</v>
      </c>
      <c r="E81" s="417" t="s">
        <v>415</v>
      </c>
    </row>
    <row r="82" spans="1:8">
      <c r="A82" t="s">
        <v>1141</v>
      </c>
      <c r="C82" s="47">
        <f>B78</f>
        <v>1476</v>
      </c>
      <c r="D82" s="197">
        <f>C79</f>
        <v>3.6585365853658569E-2</v>
      </c>
      <c r="E82" s="47">
        <f>C82*(1+D82)</f>
        <v>1530</v>
      </c>
    </row>
    <row r="83" spans="1:8">
      <c r="A83" s="496" t="s">
        <v>1142</v>
      </c>
    </row>
    <row r="84" spans="1:8">
      <c r="A84" t="s">
        <v>1143</v>
      </c>
      <c r="B84" s="89">
        <f>'DHB Stats'!AA59</f>
        <v>0.63347109938329471</v>
      </c>
      <c r="C84" s="47">
        <f>C82*B84</f>
        <v>935.00334268974302</v>
      </c>
      <c r="D84" s="113">
        <f>E38</f>
        <v>7.9202574354182861E-2</v>
      </c>
      <c r="E84" s="47">
        <f>C84*(1+D84)</f>
        <v>1009.0580144605369</v>
      </c>
    </row>
    <row r="85" spans="1:8">
      <c r="A85" s="9" t="s">
        <v>1144</v>
      </c>
      <c r="B85" s="9"/>
      <c r="C85" s="57">
        <f>C82-C84</f>
        <v>540.99665731025698</v>
      </c>
      <c r="D85" s="705">
        <f>'Health Vote 2019-20 post-Budget'!_CPI19</f>
        <v>0.02</v>
      </c>
      <c r="E85" s="57">
        <f>C85*(1+D85)</f>
        <v>551.81659045646211</v>
      </c>
    </row>
    <row r="86" spans="1:8">
      <c r="A86" s="500" t="s">
        <v>1145</v>
      </c>
      <c r="B86" s="119"/>
      <c r="C86" s="217"/>
      <c r="D86" s="706">
        <f>Demographics!AE29</f>
        <v>1.5371980195708179E-2</v>
      </c>
      <c r="E86" s="217">
        <f>SUM(E84:E85)*D86</f>
        <v>23.993733514767939</v>
      </c>
      <c r="G86" t="s">
        <v>1146</v>
      </c>
    </row>
    <row r="87" spans="1:8">
      <c r="A87" s="38" t="s">
        <v>1147</v>
      </c>
      <c r="B87" s="38"/>
      <c r="C87" s="43">
        <f>SUM(C84:C85)</f>
        <v>1476</v>
      </c>
      <c r="D87" s="691">
        <f>E87/C87-1</f>
        <v>7.3759036877890871E-2</v>
      </c>
      <c r="E87" s="43">
        <f>SUM(E84:E86)</f>
        <v>1584.8683384317669</v>
      </c>
    </row>
    <row r="88" spans="1:8">
      <c r="A88" s="707" t="s">
        <v>807</v>
      </c>
      <c r="B88" s="496"/>
      <c r="C88" s="708"/>
      <c r="D88" s="496"/>
      <c r="E88" s="709">
        <f>E87-E82</f>
        <v>54.868338431766915</v>
      </c>
    </row>
    <row r="89" spans="1:8">
      <c r="A89" s="710"/>
      <c r="B89" s="711"/>
      <c r="C89" s="712"/>
      <c r="D89" s="711"/>
      <c r="E89" s="713"/>
    </row>
    <row r="90" spans="1:8">
      <c r="C90" s="47"/>
    </row>
    <row r="91" spans="1:8">
      <c r="A91" t="s">
        <v>1148</v>
      </c>
      <c r="C91" s="47"/>
    </row>
    <row r="92" spans="1:8">
      <c r="A92" s="714" t="s">
        <v>1149</v>
      </c>
      <c r="B92" s="200"/>
      <c r="C92" s="200"/>
      <c r="D92" s="200"/>
      <c r="E92" s="200"/>
      <c r="F92" s="200"/>
      <c r="G92" s="200"/>
      <c r="H92" s="200"/>
    </row>
    <row r="93" spans="1:8">
      <c r="A93" s="715"/>
      <c r="B93" s="716" t="s">
        <v>1051</v>
      </c>
      <c r="C93" s="717"/>
      <c r="D93" s="717"/>
      <c r="E93" s="717"/>
      <c r="F93" s="717"/>
      <c r="G93" s="717"/>
      <c r="H93" s="718"/>
    </row>
    <row r="94" spans="1:8" ht="33.75">
      <c r="A94" s="719"/>
      <c r="B94" s="720" t="s">
        <v>409</v>
      </c>
      <c r="C94" s="721" t="s">
        <v>415</v>
      </c>
      <c r="D94" s="721" t="s">
        <v>420</v>
      </c>
      <c r="E94" s="721" t="s">
        <v>426</v>
      </c>
      <c r="F94" s="722" t="s">
        <v>431</v>
      </c>
      <c r="G94" s="723" t="s">
        <v>1150</v>
      </c>
      <c r="H94" s="724" t="s">
        <v>1151</v>
      </c>
    </row>
    <row r="95" spans="1:8">
      <c r="A95" s="725" t="s">
        <v>1152</v>
      </c>
      <c r="B95" s="726" t="s">
        <v>880</v>
      </c>
      <c r="C95" s="727">
        <v>94</v>
      </c>
      <c r="D95" s="727">
        <v>98</v>
      </c>
      <c r="E95" s="727">
        <v>98</v>
      </c>
      <c r="F95" s="728">
        <v>103</v>
      </c>
      <c r="G95" s="729">
        <v>393</v>
      </c>
      <c r="H95" s="729">
        <v>98</v>
      </c>
    </row>
    <row r="96" spans="1:8">
      <c r="A96" s="730" t="s">
        <v>1153</v>
      </c>
      <c r="B96" s="731" t="s">
        <v>880</v>
      </c>
      <c r="C96" s="732">
        <v>75</v>
      </c>
      <c r="D96" s="732">
        <v>127</v>
      </c>
      <c r="E96" s="732">
        <v>163</v>
      </c>
      <c r="F96" s="733">
        <v>206</v>
      </c>
      <c r="G96" s="734">
        <v>571</v>
      </c>
      <c r="H96" s="734">
        <v>143</v>
      </c>
    </row>
    <row r="97" spans="1:8">
      <c r="A97" s="730" t="s">
        <v>1154</v>
      </c>
      <c r="B97" s="731" t="s">
        <v>880</v>
      </c>
      <c r="C97" s="732">
        <v>10</v>
      </c>
      <c r="D97" s="732">
        <v>7</v>
      </c>
      <c r="E97" s="732">
        <v>10</v>
      </c>
      <c r="F97" s="733">
        <v>13</v>
      </c>
      <c r="G97" s="734">
        <v>39</v>
      </c>
      <c r="H97" s="734">
        <v>10</v>
      </c>
    </row>
    <row r="98" spans="1:8">
      <c r="A98" s="730" t="s">
        <v>1155</v>
      </c>
      <c r="B98" s="731" t="s">
        <v>880</v>
      </c>
      <c r="C98" s="732">
        <v>20</v>
      </c>
      <c r="D98" s="732">
        <v>30</v>
      </c>
      <c r="E98" s="732">
        <v>42</v>
      </c>
      <c r="F98" s="733">
        <v>44</v>
      </c>
      <c r="G98" s="734">
        <v>135</v>
      </c>
      <c r="H98" s="734">
        <v>34</v>
      </c>
    </row>
    <row r="99" spans="1:8">
      <c r="A99" s="730" t="s">
        <v>1156</v>
      </c>
      <c r="B99" s="735">
        <v>12</v>
      </c>
      <c r="C99" s="732">
        <v>56</v>
      </c>
      <c r="D99" s="732">
        <v>53</v>
      </c>
      <c r="E99" s="732">
        <v>53</v>
      </c>
      <c r="F99" s="733">
        <v>13</v>
      </c>
      <c r="G99" s="734">
        <v>187</v>
      </c>
      <c r="H99" s="734">
        <v>47</v>
      </c>
    </row>
    <row r="100" spans="1:8">
      <c r="A100" s="736" t="s">
        <v>1157</v>
      </c>
      <c r="B100" s="737" t="s">
        <v>880</v>
      </c>
      <c r="C100" s="738">
        <v>13</v>
      </c>
      <c r="D100" s="738">
        <v>14</v>
      </c>
      <c r="E100" s="738">
        <v>15</v>
      </c>
      <c r="F100" s="739">
        <v>16</v>
      </c>
      <c r="G100" s="740">
        <v>58</v>
      </c>
      <c r="H100" s="740">
        <v>15</v>
      </c>
    </row>
    <row r="101" spans="1:8">
      <c r="A101" s="741" t="s">
        <v>1158</v>
      </c>
      <c r="B101" s="742">
        <v>12</v>
      </c>
      <c r="C101" s="743">
        <v>267</v>
      </c>
      <c r="D101" s="743">
        <v>329</v>
      </c>
      <c r="E101" s="743">
        <v>381</v>
      </c>
      <c r="F101" s="744">
        <v>395</v>
      </c>
      <c r="G101" s="745">
        <v>1384</v>
      </c>
      <c r="H101" s="746">
        <v>346</v>
      </c>
    </row>
    <row r="103" spans="1:8">
      <c r="A103" s="714" t="s">
        <v>1159</v>
      </c>
      <c r="B103" s="200"/>
      <c r="C103" s="200"/>
      <c r="D103" s="200"/>
      <c r="E103" s="200"/>
      <c r="F103" s="200"/>
      <c r="G103" s="200"/>
      <c r="H103" s="200"/>
    </row>
    <row r="104" spans="1:8">
      <c r="A104" s="715"/>
      <c r="B104" s="747" t="s">
        <v>1051</v>
      </c>
      <c r="C104" s="748"/>
      <c r="D104" s="748"/>
      <c r="E104" s="748"/>
      <c r="F104" s="748"/>
      <c r="G104" s="748"/>
      <c r="H104" s="749"/>
    </row>
    <row r="105" spans="1:8" ht="22.5">
      <c r="A105" s="719"/>
      <c r="B105" s="720" t="s">
        <v>409</v>
      </c>
      <c r="C105" s="721" t="s">
        <v>415</v>
      </c>
      <c r="D105" s="721" t="s">
        <v>420</v>
      </c>
      <c r="E105" s="721" t="s">
        <v>426</v>
      </c>
      <c r="F105" s="722" t="s">
        <v>431</v>
      </c>
      <c r="G105" s="750" t="s">
        <v>1160</v>
      </c>
      <c r="H105" s="751" t="s">
        <v>1161</v>
      </c>
    </row>
    <row r="106" spans="1:8">
      <c r="A106" s="725" t="s">
        <v>1152</v>
      </c>
      <c r="B106" s="726" t="s">
        <v>880</v>
      </c>
      <c r="C106" s="727">
        <v>21</v>
      </c>
      <c r="D106" s="727">
        <v>45</v>
      </c>
      <c r="E106" s="727">
        <v>55</v>
      </c>
      <c r="F106" s="728">
        <v>15</v>
      </c>
      <c r="G106" s="752" t="s">
        <v>880</v>
      </c>
      <c r="H106" s="729">
        <v>136</v>
      </c>
    </row>
    <row r="107" spans="1:8">
      <c r="A107" s="730" t="s">
        <v>1153</v>
      </c>
      <c r="B107" s="731" t="s">
        <v>880</v>
      </c>
      <c r="C107" s="753" t="s">
        <v>880</v>
      </c>
      <c r="D107" s="753" t="s">
        <v>880</v>
      </c>
      <c r="E107" s="753" t="s">
        <v>880</v>
      </c>
      <c r="F107" s="754" t="s">
        <v>880</v>
      </c>
      <c r="G107" s="755" t="s">
        <v>880</v>
      </c>
      <c r="H107" s="755" t="s">
        <v>880</v>
      </c>
    </row>
    <row r="108" spans="1:8">
      <c r="A108" s="730" t="s">
        <v>1154</v>
      </c>
      <c r="B108" s="731" t="s">
        <v>880</v>
      </c>
      <c r="C108" s="753" t="s">
        <v>880</v>
      </c>
      <c r="D108" s="753" t="s">
        <v>880</v>
      </c>
      <c r="E108" s="753" t="s">
        <v>880</v>
      </c>
      <c r="F108" s="754" t="s">
        <v>880</v>
      </c>
      <c r="G108" s="755" t="s">
        <v>880</v>
      </c>
      <c r="H108" s="755" t="s">
        <v>880</v>
      </c>
    </row>
    <row r="109" spans="1:8">
      <c r="A109" s="730" t="s">
        <v>1155</v>
      </c>
      <c r="B109" s="731" t="s">
        <v>880</v>
      </c>
      <c r="C109" s="732">
        <v>2</v>
      </c>
      <c r="D109" s="753" t="s">
        <v>880</v>
      </c>
      <c r="E109" s="753" t="s">
        <v>880</v>
      </c>
      <c r="F109" s="733">
        <v>1</v>
      </c>
      <c r="G109" s="755" t="s">
        <v>880</v>
      </c>
      <c r="H109" s="734">
        <v>4</v>
      </c>
    </row>
    <row r="110" spans="1:8">
      <c r="A110" s="730" t="s">
        <v>1156</v>
      </c>
      <c r="B110" s="731" t="s">
        <v>880</v>
      </c>
      <c r="C110" s="732">
        <v>1</v>
      </c>
      <c r="D110" s="753" t="s">
        <v>880</v>
      </c>
      <c r="E110" s="753" t="s">
        <v>880</v>
      </c>
      <c r="F110" s="754" t="s">
        <v>880</v>
      </c>
      <c r="G110" s="755" t="s">
        <v>880</v>
      </c>
      <c r="H110" s="734">
        <v>1</v>
      </c>
    </row>
    <row r="111" spans="1:8">
      <c r="A111" s="736" t="s">
        <v>1157</v>
      </c>
      <c r="B111" s="737" t="s">
        <v>880</v>
      </c>
      <c r="C111" s="756" t="s">
        <v>880</v>
      </c>
      <c r="D111" s="756" t="s">
        <v>880</v>
      </c>
      <c r="E111" s="756" t="s">
        <v>880</v>
      </c>
      <c r="F111" s="757" t="s">
        <v>880</v>
      </c>
      <c r="G111" s="758" t="s">
        <v>880</v>
      </c>
      <c r="H111" s="758" t="s">
        <v>880</v>
      </c>
    </row>
    <row r="112" spans="1:8">
      <c r="A112" s="741" t="s">
        <v>1162</v>
      </c>
      <c r="B112" s="759" t="s">
        <v>880</v>
      </c>
      <c r="C112" s="743">
        <v>25</v>
      </c>
      <c r="D112" s="743">
        <v>45</v>
      </c>
      <c r="E112" s="743">
        <v>55</v>
      </c>
      <c r="F112" s="744">
        <v>17</v>
      </c>
      <c r="G112" s="760" t="s">
        <v>880</v>
      </c>
      <c r="H112" s="746">
        <v>142</v>
      </c>
    </row>
    <row r="115" spans="1:9">
      <c r="A115" s="109" t="s">
        <v>1163</v>
      </c>
    </row>
    <row r="116" spans="1:9">
      <c r="A116" s="761" t="s">
        <v>897</v>
      </c>
      <c r="B116" s="762"/>
      <c r="C116" s="763">
        <v>48.137999999999998</v>
      </c>
      <c r="D116" s="763">
        <v>97.216999999999999</v>
      </c>
      <c r="E116" s="763">
        <v>133.63</v>
      </c>
      <c r="F116" s="763">
        <v>176.089</v>
      </c>
      <c r="I116" t="s">
        <v>3</v>
      </c>
    </row>
    <row r="117" spans="1:9">
      <c r="A117" s="761" t="s">
        <v>924</v>
      </c>
      <c r="B117" s="762"/>
      <c r="C117" s="763">
        <v>5.2320000000000002</v>
      </c>
      <c r="D117" s="763">
        <v>4.7709999999999999</v>
      </c>
      <c r="E117" s="763">
        <v>4.8710000000000004</v>
      </c>
      <c r="F117" s="763">
        <v>4.726</v>
      </c>
      <c r="I117" t="s">
        <v>3</v>
      </c>
    </row>
    <row r="118" spans="1:9">
      <c r="A118" s="761" t="s">
        <v>909</v>
      </c>
      <c r="B118" s="762"/>
      <c r="C118" s="763">
        <v>5.2</v>
      </c>
      <c r="D118" s="763">
        <v>5.2</v>
      </c>
      <c r="E118" s="763">
        <v>5.2</v>
      </c>
      <c r="F118" s="763">
        <v>5.2</v>
      </c>
      <c r="I118" t="s">
        <v>3</v>
      </c>
    </row>
    <row r="119" spans="1:9">
      <c r="A119" s="761" t="s">
        <v>916</v>
      </c>
      <c r="B119" s="762"/>
      <c r="C119" s="763">
        <v>2</v>
      </c>
      <c r="D119" s="763">
        <v>2</v>
      </c>
      <c r="E119" s="763">
        <v>2</v>
      </c>
      <c r="F119" s="763">
        <v>2</v>
      </c>
      <c r="I119" t="s">
        <v>3</v>
      </c>
    </row>
    <row r="120" spans="1:9">
      <c r="A120" s="761" t="s">
        <v>1164</v>
      </c>
      <c r="B120" s="762"/>
      <c r="C120" s="763">
        <v>1</v>
      </c>
      <c r="D120" s="763">
        <v>2</v>
      </c>
      <c r="E120" s="763">
        <v>2</v>
      </c>
      <c r="F120" s="763">
        <v>2</v>
      </c>
      <c r="I120" t="s">
        <v>3</v>
      </c>
    </row>
    <row r="121" spans="1:9">
      <c r="A121" s="761" t="s">
        <v>915</v>
      </c>
      <c r="B121" s="762"/>
      <c r="C121" s="763">
        <v>0.55000000000000004</v>
      </c>
      <c r="D121" s="763">
        <v>3.1</v>
      </c>
      <c r="E121" s="763">
        <v>3.1</v>
      </c>
      <c r="F121" s="763">
        <v>3.25</v>
      </c>
      <c r="I121" t="s">
        <v>3</v>
      </c>
    </row>
    <row r="122" spans="1:9">
      <c r="A122" s="761" t="s">
        <v>1165</v>
      </c>
      <c r="B122" s="762"/>
      <c r="C122" s="763">
        <v>2</v>
      </c>
      <c r="D122" s="763">
        <v>2</v>
      </c>
      <c r="E122" s="763">
        <v>2</v>
      </c>
      <c r="F122" s="763">
        <v>2</v>
      </c>
      <c r="I122" t="s">
        <v>3</v>
      </c>
    </row>
    <row r="123" spans="1:9">
      <c r="A123" s="761" t="s">
        <v>907</v>
      </c>
      <c r="B123" s="762"/>
      <c r="C123" s="763">
        <v>10.1</v>
      </c>
      <c r="D123" s="763">
        <v>10</v>
      </c>
      <c r="E123" s="763">
        <v>9.9499999999999993</v>
      </c>
      <c r="F123" s="763">
        <v>9.9499999999999993</v>
      </c>
      <c r="I123" t="s">
        <v>3</v>
      </c>
    </row>
    <row r="124" spans="1:9">
      <c r="A124" s="764" t="s">
        <v>920</v>
      </c>
      <c r="B124" s="765"/>
      <c r="C124" s="766">
        <v>1</v>
      </c>
      <c r="D124" s="766">
        <v>0.4</v>
      </c>
      <c r="E124" s="766">
        <v>0.4</v>
      </c>
      <c r="F124" s="766">
        <v>0.4</v>
      </c>
      <c r="G124" s="119"/>
      <c r="H124" s="119"/>
      <c r="I124" s="119" t="s">
        <v>3</v>
      </c>
    </row>
    <row r="125" spans="1:9">
      <c r="A125" t="s">
        <v>1166</v>
      </c>
      <c r="B125" s="763">
        <f>SUM(B116:B124)</f>
        <v>0</v>
      </c>
      <c r="C125" s="763">
        <f>SUM(C116:C124)</f>
        <v>75.22</v>
      </c>
      <c r="D125" s="763">
        <f>SUM(D116:D124)</f>
        <v>126.688</v>
      </c>
      <c r="E125" s="763">
        <f>SUM(E116:E124)</f>
        <v>163.15099999999998</v>
      </c>
      <c r="F125" s="763">
        <f>SUM(F116:F124)</f>
        <v>205.61499999999998</v>
      </c>
    </row>
    <row r="126" spans="1:9">
      <c r="B126" s="763"/>
      <c r="C126" s="763"/>
      <c r="D126" s="763"/>
      <c r="E126" s="763"/>
      <c r="F126" s="763"/>
    </row>
    <row r="127" spans="1:9">
      <c r="A127" s="109" t="s">
        <v>1157</v>
      </c>
      <c r="B127" s="732"/>
      <c r="C127" s="732"/>
      <c r="D127" s="732"/>
      <c r="E127" s="732"/>
    </row>
    <row r="128" spans="1:9">
      <c r="A128" s="761" t="s">
        <v>914</v>
      </c>
      <c r="B128" s="762"/>
      <c r="C128" s="763">
        <v>2</v>
      </c>
      <c r="D128" s="763">
        <v>3</v>
      </c>
      <c r="E128" s="763">
        <v>4</v>
      </c>
      <c r="F128" s="763">
        <v>5</v>
      </c>
      <c r="I128" t="s">
        <v>3</v>
      </c>
    </row>
    <row r="129" spans="1:9">
      <c r="A129" s="761" t="s">
        <v>905</v>
      </c>
      <c r="B129" s="732"/>
      <c r="C129" s="763">
        <v>10.5</v>
      </c>
      <c r="D129" s="763">
        <v>10.5</v>
      </c>
      <c r="E129" s="763">
        <v>10.5</v>
      </c>
      <c r="F129" s="763">
        <v>10.5</v>
      </c>
      <c r="I129" t="s">
        <v>3</v>
      </c>
    </row>
    <row r="130" spans="1:9">
      <c r="A130" s="119"/>
      <c r="B130" s="767"/>
      <c r="C130" s="766">
        <v>0.5</v>
      </c>
      <c r="D130" s="766">
        <v>0.5</v>
      </c>
      <c r="E130" s="766">
        <v>0.5</v>
      </c>
      <c r="F130" s="766">
        <v>0.5</v>
      </c>
      <c r="G130" s="119"/>
      <c r="H130" s="119"/>
      <c r="I130" s="119" t="s">
        <v>1167</v>
      </c>
    </row>
    <row r="131" spans="1:9">
      <c r="A131" t="s">
        <v>1168</v>
      </c>
      <c r="B131" s="732"/>
      <c r="C131" s="763">
        <f>SUM(C128:C130)</f>
        <v>13</v>
      </c>
      <c r="D131" s="763">
        <f>SUM(D128:D130)</f>
        <v>14</v>
      </c>
      <c r="E131" s="763">
        <f>SUM(E128:E130)</f>
        <v>15</v>
      </c>
      <c r="F131" s="763">
        <f>SUM(F128:F130)</f>
        <v>16</v>
      </c>
    </row>
    <row r="132" spans="1:9">
      <c r="B132" s="732"/>
      <c r="C132" s="732"/>
      <c r="D132" s="732"/>
      <c r="E132" s="732"/>
    </row>
    <row r="133" spans="1:9">
      <c r="A133" s="109" t="s">
        <v>1155</v>
      </c>
      <c r="B133" s="732"/>
      <c r="C133" s="732"/>
      <c r="D133" s="732"/>
      <c r="E133" s="732"/>
    </row>
    <row r="134" spans="1:9">
      <c r="A134" s="761" t="s">
        <v>1169</v>
      </c>
      <c r="B134" s="732"/>
      <c r="C134" s="763">
        <v>0.2</v>
      </c>
      <c r="D134" s="763"/>
      <c r="E134" s="763"/>
      <c r="F134" s="763"/>
      <c r="G134" s="763"/>
      <c r="H134" s="763"/>
      <c r="I134" t="s">
        <v>1170</v>
      </c>
    </row>
    <row r="135" spans="1:9">
      <c r="A135" s="761"/>
      <c r="B135" s="732"/>
      <c r="C135" s="763">
        <v>0.2</v>
      </c>
      <c r="D135" s="763"/>
      <c r="E135" s="763"/>
      <c r="F135" s="763"/>
      <c r="G135" s="763"/>
      <c r="H135" s="763"/>
      <c r="I135" t="s">
        <v>1171</v>
      </c>
    </row>
    <row r="136" spans="1:9">
      <c r="A136" s="761"/>
      <c r="C136" s="763">
        <v>0.25</v>
      </c>
      <c r="D136" s="763"/>
      <c r="E136" s="763"/>
      <c r="F136" s="763"/>
      <c r="G136" s="763"/>
      <c r="H136" s="763"/>
      <c r="I136" t="s">
        <v>1172</v>
      </c>
    </row>
    <row r="137" spans="1:9">
      <c r="A137" s="761" t="s">
        <v>1173</v>
      </c>
      <c r="C137" s="763">
        <v>16.661000000000001</v>
      </c>
      <c r="D137" s="763">
        <v>26.878</v>
      </c>
      <c r="E137" s="763">
        <v>38.659999999999997</v>
      </c>
      <c r="F137" s="763">
        <v>41.387</v>
      </c>
      <c r="G137" s="763"/>
      <c r="H137" s="763">
        <v>3.9</v>
      </c>
      <c r="I137" t="s">
        <v>1167</v>
      </c>
    </row>
    <row r="138" spans="1:9">
      <c r="A138" s="761"/>
      <c r="C138" s="763">
        <v>0.30299999999999999</v>
      </c>
      <c r="D138" s="763">
        <v>0.156</v>
      </c>
      <c r="E138" s="763">
        <v>0.16</v>
      </c>
      <c r="F138" s="763">
        <v>0.16300000000000001</v>
      </c>
      <c r="G138" s="763"/>
      <c r="H138" s="763"/>
      <c r="I138" t="s">
        <v>1172</v>
      </c>
    </row>
    <row r="139" spans="1:9">
      <c r="A139" s="761" t="s">
        <v>1174</v>
      </c>
      <c r="C139" s="763">
        <v>1.087</v>
      </c>
      <c r="D139" s="763">
        <v>1.7130000000000001</v>
      </c>
      <c r="E139" s="763">
        <v>1.7130000000000001</v>
      </c>
      <c r="F139" s="763">
        <v>1.7130000000000001</v>
      </c>
      <c r="G139" s="763"/>
      <c r="H139" s="763"/>
      <c r="I139" t="s">
        <v>1171</v>
      </c>
    </row>
    <row r="140" spans="1:9">
      <c r="A140" s="764" t="s">
        <v>1175</v>
      </c>
      <c r="B140" s="119"/>
      <c r="C140" s="766">
        <v>1</v>
      </c>
      <c r="D140" s="766">
        <v>1</v>
      </c>
      <c r="E140" s="766">
        <v>1</v>
      </c>
      <c r="F140" s="766">
        <v>1</v>
      </c>
      <c r="G140" s="766"/>
      <c r="H140" s="766"/>
      <c r="I140" s="119" t="s">
        <v>3</v>
      </c>
    </row>
    <row r="141" spans="1:9">
      <c r="A141" t="s">
        <v>1176</v>
      </c>
      <c r="C141" s="763">
        <f t="shared" ref="C141:H141" si="0">SUM(C134:C140)</f>
        <v>19.701000000000001</v>
      </c>
      <c r="D141" s="763">
        <f t="shared" si="0"/>
        <v>29.747</v>
      </c>
      <c r="E141" s="763">
        <f t="shared" si="0"/>
        <v>41.532999999999994</v>
      </c>
      <c r="F141" s="763">
        <f t="shared" si="0"/>
        <v>44.262999999999998</v>
      </c>
      <c r="G141" s="763">
        <f t="shared" si="0"/>
        <v>0</v>
      </c>
      <c r="H141" s="763">
        <f t="shared" si="0"/>
        <v>3.9</v>
      </c>
    </row>
    <row r="143" spans="1:9">
      <c r="A143" s="109" t="s">
        <v>1154</v>
      </c>
    </row>
    <row r="144" spans="1:9">
      <c r="A144" s="761" t="s">
        <v>912</v>
      </c>
      <c r="C144" s="763">
        <v>1.77</v>
      </c>
      <c r="D144" s="763">
        <v>3.43</v>
      </c>
      <c r="E144" s="763">
        <v>4.41</v>
      </c>
      <c r="F144" s="763">
        <v>5.39</v>
      </c>
      <c r="I144" t="s">
        <v>3</v>
      </c>
    </row>
    <row r="145" spans="1:9">
      <c r="A145" s="761" t="s">
        <v>911</v>
      </c>
      <c r="C145" s="763">
        <v>2.42</v>
      </c>
      <c r="D145" s="763">
        <v>3.96</v>
      </c>
      <c r="E145" s="763">
        <v>5.47</v>
      </c>
      <c r="F145" s="763">
        <v>7.15</v>
      </c>
      <c r="I145" t="s">
        <v>3</v>
      </c>
    </row>
    <row r="146" spans="1:9">
      <c r="A146" s="764" t="s">
        <v>1177</v>
      </c>
      <c r="B146" s="119"/>
      <c r="C146" s="766">
        <v>5.48</v>
      </c>
      <c r="D146" s="766"/>
      <c r="E146" s="766"/>
      <c r="F146" s="766"/>
      <c r="G146" s="119"/>
      <c r="H146" s="119"/>
      <c r="I146" s="119" t="s">
        <v>3</v>
      </c>
    </row>
    <row r="147" spans="1:9">
      <c r="A147" t="s">
        <v>1178</v>
      </c>
      <c r="C147" s="763">
        <f>SUM(C144:C146)</f>
        <v>9.67</v>
      </c>
      <c r="D147" s="763">
        <f>SUM(D144:D146)</f>
        <v>7.3900000000000006</v>
      </c>
      <c r="E147" s="763">
        <f>SUM(E144:E146)</f>
        <v>9.879999999999999</v>
      </c>
      <c r="F147" s="763">
        <f>SUM(F144:F146)</f>
        <v>12.54</v>
      </c>
      <c r="G147" s="763"/>
      <c r="H147" s="763"/>
    </row>
    <row r="149" spans="1:9">
      <c r="A149" s="109" t="s">
        <v>1152</v>
      </c>
    </row>
    <row r="150" spans="1:9">
      <c r="A150" s="761" t="s">
        <v>1179</v>
      </c>
      <c r="C150" s="768">
        <v>9.7390000000000008</v>
      </c>
      <c r="D150" s="768">
        <v>10.467000000000001</v>
      </c>
      <c r="E150" s="768">
        <v>3.0630000000000002</v>
      </c>
      <c r="F150" s="768">
        <v>3.0630000000000002</v>
      </c>
      <c r="G150" s="768"/>
      <c r="H150" s="768"/>
      <c r="I150" t="s">
        <v>1180</v>
      </c>
    </row>
    <row r="151" spans="1:9">
      <c r="A151" s="761" t="s">
        <v>1181</v>
      </c>
      <c r="C151" s="768">
        <v>5.0999999999999996</v>
      </c>
      <c r="D151" s="768">
        <v>4.5999999999999996</v>
      </c>
      <c r="E151" s="768">
        <v>4.5999999999999996</v>
      </c>
      <c r="F151" s="768">
        <v>4.5999999999999996</v>
      </c>
      <c r="G151" s="768"/>
      <c r="H151" s="768"/>
      <c r="I151" t="s">
        <v>1180</v>
      </c>
    </row>
    <row r="152" spans="1:9">
      <c r="A152" s="761" t="s">
        <v>1182</v>
      </c>
      <c r="C152" s="768">
        <v>33.872999999999998</v>
      </c>
      <c r="D152" s="768">
        <v>42.423000000000002</v>
      </c>
      <c r="E152" s="768">
        <v>54.066000000000003</v>
      </c>
      <c r="F152" s="768">
        <v>63.703000000000003</v>
      </c>
      <c r="G152" s="768"/>
      <c r="H152" s="768"/>
      <c r="I152" t="s">
        <v>1183</v>
      </c>
    </row>
    <row r="153" spans="1:9">
      <c r="A153" s="761"/>
      <c r="C153" s="768">
        <v>0.127</v>
      </c>
      <c r="D153" s="768">
        <v>0.57699999999999996</v>
      </c>
      <c r="E153" s="768">
        <v>0.93400000000000005</v>
      </c>
      <c r="F153" s="768">
        <v>1.2969999999999999</v>
      </c>
      <c r="G153" s="768"/>
      <c r="H153" s="768"/>
      <c r="I153" t="s">
        <v>1180</v>
      </c>
    </row>
    <row r="154" spans="1:9">
      <c r="A154" s="761" t="s">
        <v>1184</v>
      </c>
      <c r="C154" s="768">
        <v>0.60799999999999998</v>
      </c>
      <c r="D154" s="768">
        <v>0.63600000000000001</v>
      </c>
      <c r="E154" s="768">
        <v>0.66400000000000003</v>
      </c>
      <c r="F154" s="768">
        <v>0.157</v>
      </c>
      <c r="G154" s="768"/>
      <c r="H154" s="768">
        <v>2.0009999999999999</v>
      </c>
      <c r="I154" t="s">
        <v>1185</v>
      </c>
    </row>
    <row r="155" spans="1:9">
      <c r="A155" s="761" t="s">
        <v>1186</v>
      </c>
      <c r="C155" s="768">
        <v>44.34</v>
      </c>
      <c r="D155" s="768">
        <v>39.457000000000001</v>
      </c>
      <c r="E155" s="768">
        <v>34.755000000000003</v>
      </c>
      <c r="F155" s="768">
        <v>30.611999999999998</v>
      </c>
      <c r="G155" s="768"/>
      <c r="H155" s="768">
        <v>20.736999999999998</v>
      </c>
      <c r="I155" t="s">
        <v>1183</v>
      </c>
    </row>
    <row r="156" spans="1:9">
      <c r="A156" s="119"/>
      <c r="B156" s="119"/>
      <c r="C156" s="766"/>
      <c r="D156" s="766"/>
      <c r="E156" s="766"/>
      <c r="F156" s="766"/>
      <c r="G156" s="766"/>
      <c r="H156" s="766">
        <v>113.43</v>
      </c>
      <c r="I156" s="496" t="s">
        <v>1187</v>
      </c>
    </row>
    <row r="157" spans="1:9">
      <c r="A157" t="s">
        <v>1178</v>
      </c>
      <c r="C157" s="763">
        <f>SUM(C150:C156)</f>
        <v>93.787000000000006</v>
      </c>
      <c r="D157" s="763">
        <f>SUM(D150:D156)</f>
        <v>98.16</v>
      </c>
      <c r="E157" s="763">
        <f>SUM(E150:E156)</f>
        <v>98.081999999999994</v>
      </c>
      <c r="F157" s="763">
        <f>SUM(F150:F156)</f>
        <v>103.43199999999999</v>
      </c>
      <c r="G157" s="763"/>
      <c r="H157" s="763">
        <f>SUM(H150:H156)</f>
        <v>136.16800000000001</v>
      </c>
    </row>
    <row r="159" spans="1:9">
      <c r="A159" s="119" t="s">
        <v>1156</v>
      </c>
    </row>
    <row r="160" spans="1:9">
      <c r="A160" s="761" t="s">
        <v>969</v>
      </c>
      <c r="B160" s="768">
        <v>0.54800000000000004</v>
      </c>
      <c r="C160" s="768">
        <v>6.7480000000000002</v>
      </c>
      <c r="D160" s="768"/>
      <c r="E160" s="768"/>
      <c r="F160" s="768"/>
      <c r="G160" s="768"/>
      <c r="H160" s="768"/>
      <c r="I160" t="s">
        <v>1188</v>
      </c>
    </row>
    <row r="161" spans="1:9">
      <c r="A161" s="761"/>
      <c r="B161" s="768"/>
      <c r="C161" s="768">
        <v>0.2</v>
      </c>
      <c r="D161" s="768"/>
      <c r="E161" s="768"/>
      <c r="F161" s="768"/>
      <c r="G161" s="768"/>
      <c r="H161" s="768"/>
      <c r="I161" t="s">
        <v>1189</v>
      </c>
    </row>
    <row r="162" spans="1:9">
      <c r="A162" s="761"/>
      <c r="B162" s="768"/>
      <c r="C162" s="768">
        <v>0.2</v>
      </c>
      <c r="D162" s="768"/>
      <c r="E162" s="768"/>
      <c r="F162" s="768"/>
      <c r="G162" s="768"/>
      <c r="H162" s="768"/>
      <c r="I162" t="s">
        <v>1170</v>
      </c>
    </row>
    <row r="163" spans="1:9">
      <c r="A163" s="761"/>
      <c r="B163" s="768"/>
      <c r="C163" s="768">
        <v>0.46400000000000002</v>
      </c>
      <c r="D163" s="768"/>
      <c r="E163" s="768"/>
      <c r="F163" s="768"/>
      <c r="G163" s="768"/>
      <c r="H163" s="768"/>
      <c r="I163" t="s">
        <v>1190</v>
      </c>
    </row>
    <row r="164" spans="1:9">
      <c r="A164" s="761"/>
      <c r="B164" s="768"/>
      <c r="C164" s="768">
        <v>0.15</v>
      </c>
      <c r="D164" s="768"/>
      <c r="E164" s="768"/>
      <c r="F164" s="768"/>
      <c r="G164" s="768"/>
      <c r="H164" s="768"/>
      <c r="I164" t="s">
        <v>3</v>
      </c>
    </row>
    <row r="165" spans="1:9">
      <c r="A165" s="761"/>
      <c r="B165" s="768"/>
      <c r="C165" s="768">
        <v>1.4179999999999999</v>
      </c>
      <c r="D165" s="768"/>
      <c r="E165" s="768"/>
      <c r="F165" s="768"/>
      <c r="G165" s="768"/>
      <c r="H165" s="768"/>
      <c r="I165" t="s">
        <v>1191</v>
      </c>
    </row>
    <row r="166" spans="1:9">
      <c r="A166" s="761" t="s">
        <v>1192</v>
      </c>
      <c r="B166" s="768">
        <v>11.147</v>
      </c>
      <c r="C166" s="768">
        <v>17.398</v>
      </c>
      <c r="D166" s="768">
        <v>18.733000000000001</v>
      </c>
      <c r="E166" s="768">
        <v>18.213999999999999</v>
      </c>
      <c r="F166" s="768">
        <v>12.031000000000001</v>
      </c>
      <c r="G166" s="768"/>
      <c r="H166" s="768"/>
      <c r="I166" t="s">
        <v>1191</v>
      </c>
    </row>
    <row r="167" spans="1:9">
      <c r="A167" s="761" t="s">
        <v>1193</v>
      </c>
      <c r="B167" s="768"/>
      <c r="C167" s="768">
        <v>27.311</v>
      </c>
      <c r="D167" s="768">
        <v>32.470999999999997</v>
      </c>
      <c r="E167" s="768">
        <v>33.968000000000004</v>
      </c>
      <c r="F167" s="768" t="s">
        <v>880</v>
      </c>
      <c r="G167" s="768"/>
      <c r="H167" s="768">
        <v>1.4339999999999999</v>
      </c>
      <c r="I167" t="s">
        <v>1180</v>
      </c>
    </row>
    <row r="168" spans="1:9">
      <c r="A168" s="764" t="s">
        <v>1194</v>
      </c>
      <c r="B168" s="766">
        <v>0.50700000000000001</v>
      </c>
      <c r="C168" s="766">
        <v>1.6659999999999999</v>
      </c>
      <c r="D168" s="766">
        <v>1.6439999999999999</v>
      </c>
      <c r="E168" s="766">
        <v>1.1639999999999999</v>
      </c>
      <c r="F168" s="766">
        <v>1.1639999999999999</v>
      </c>
      <c r="G168" s="766"/>
      <c r="H168" s="766"/>
      <c r="I168" s="119" t="s">
        <v>1190</v>
      </c>
    </row>
    <row r="169" spans="1:9">
      <c r="A169" t="s">
        <v>1195</v>
      </c>
      <c r="B169" s="763">
        <f>SUM(B160:B168)</f>
        <v>12.202</v>
      </c>
      <c r="C169" s="763">
        <f t="shared" ref="C169:H169" si="1">SUM(C160:C168)</f>
        <v>55.555</v>
      </c>
      <c r="D169" s="763">
        <f t="shared" si="1"/>
        <v>52.847999999999992</v>
      </c>
      <c r="E169" s="763">
        <f t="shared" si="1"/>
        <v>53.346000000000004</v>
      </c>
      <c r="F169" s="763">
        <f t="shared" si="1"/>
        <v>13.195</v>
      </c>
      <c r="G169" s="763"/>
      <c r="H169" s="763">
        <f t="shared" si="1"/>
        <v>1.4339999999999999</v>
      </c>
    </row>
    <row r="171" spans="1:9">
      <c r="A171" s="119" t="s">
        <v>1196</v>
      </c>
      <c r="B171" s="119">
        <f t="array" ref="B171">SUM(IF(ISBLANK($I$116:$I$169),0,B$116:B$169))</f>
        <v>12.202</v>
      </c>
      <c r="C171" s="119">
        <f t="array" ref="C171">SUM(IF(ISBLANK($I$116:$I$169),0,C$116:C$169))</f>
        <v>266.93299999999999</v>
      </c>
      <c r="D171" s="119">
        <f t="array" ref="D171">SUM(IF(ISBLANK($I$116:$I$169),0,D$116:D$169))</f>
        <v>328.83300000000003</v>
      </c>
      <c r="E171" s="119">
        <f t="array" ref="E171">SUM(IF(ISBLANK($I$116:$I$169),0,E$116:E$169))</f>
        <v>380.99199999999996</v>
      </c>
      <c r="F171" s="119">
        <f t="array" ref="F171">SUM(IF(ISBLANK($I$116:$I$169),0,F$116:F$169))</f>
        <v>395.04500000000002</v>
      </c>
      <c r="G171" s="119"/>
      <c r="H171" s="119">
        <f t="array" ref="H171">SUM(IF(ISBLANK($I$116:$I$169),0,H$116:H$169))</f>
        <v>141.50200000000001</v>
      </c>
      <c r="I171" s="119"/>
    </row>
    <row r="172" spans="1:9">
      <c r="A172" s="9"/>
    </row>
    <row r="173" spans="1:9">
      <c r="A173" s="769" t="s">
        <v>3</v>
      </c>
      <c r="B173">
        <f t="array" ref="B173">SUM(IF($I$116:$I$169=$A173,B$116:B$169,0))</f>
        <v>0</v>
      </c>
      <c r="C173">
        <f t="array" ref="C173">SUM(IF($I$116:$I$169=$A173,C$116:C$169,0))</f>
        <v>98.54</v>
      </c>
      <c r="D173">
        <f t="array" ref="D173">SUM(IF($I$116:$I$169=$A173,D$116:D$169,0))</f>
        <v>148.578</v>
      </c>
      <c r="E173">
        <f t="array" ref="E173">SUM(IF($I$116:$I$169=$A173,E$116:E$169,0))</f>
        <v>188.53099999999998</v>
      </c>
      <c r="F173">
        <f t="array" ref="F173">SUM(IF($I$116:$I$169=$A173,F$116:F$169,0))</f>
        <v>234.65499999999997</v>
      </c>
      <c r="H173">
        <f t="array" ref="H173">SUM(IF($I$116:$I$169=$A173,H$116:H$169,0))</f>
        <v>0</v>
      </c>
    </row>
    <row r="174" spans="1:9">
      <c r="A174" s="103" t="s">
        <v>1167</v>
      </c>
      <c r="B174">
        <f t="array" ref="B174">SUM(IF($I$116:$I$169=$A174,B$116:B$169,0))</f>
        <v>0</v>
      </c>
      <c r="C174">
        <f t="array" ref="C174">SUM(IF($I$116:$I$169=$A174,C$116:C$169,0))</f>
        <v>17.161000000000001</v>
      </c>
      <c r="D174">
        <f t="array" ref="D174">SUM(IF($I$116:$I$169=$A174,D$116:D$169,0))</f>
        <v>27.378</v>
      </c>
      <c r="E174">
        <f t="array" ref="E174">SUM(IF($I$116:$I$169=$A174,E$116:E$169,0))</f>
        <v>39.159999999999997</v>
      </c>
      <c r="F174">
        <f t="array" ref="F174">SUM(IF($I$116:$I$169=$A174,F$116:F$169,0))</f>
        <v>41.887</v>
      </c>
      <c r="H174">
        <f t="array" ref="H174">SUM(IF($I$116:$I$169=$A174,H$116:H$169,0))</f>
        <v>3.9</v>
      </c>
    </row>
    <row r="175" spans="1:9">
      <c r="A175" s="103" t="s">
        <v>1170</v>
      </c>
      <c r="B175">
        <f t="array" ref="B175">SUM(IF($I$116:$I$169=$A175,B$116:B$169,0))</f>
        <v>0</v>
      </c>
      <c r="C175">
        <f t="array" ref="C175">SUM(IF($I$116:$I$169=$A175,C$116:C$169,0))</f>
        <v>0.4</v>
      </c>
      <c r="D175">
        <f t="array" ref="D175">SUM(IF($I$116:$I$169=$A175,D$116:D$169,0))</f>
        <v>0</v>
      </c>
      <c r="E175">
        <f t="array" ref="E175">SUM(IF($I$116:$I$169=$A175,E$116:E$169,0))</f>
        <v>0</v>
      </c>
      <c r="F175">
        <f t="array" ref="F175">SUM(IF($I$116:$I$169=$A175,F$116:F$169,0))</f>
        <v>0</v>
      </c>
      <c r="H175">
        <f t="array" ref="H175">SUM(IF($I$116:$I$169=$A175,H$116:H$169,0))</f>
        <v>0</v>
      </c>
    </row>
    <row r="176" spans="1:9">
      <c r="A176" s="103" t="s">
        <v>1185</v>
      </c>
      <c r="B176">
        <f t="array" ref="B176">SUM(IF($I$116:$I$169=$A176,B$116:B$169,0))</f>
        <v>0</v>
      </c>
      <c r="C176">
        <f t="array" ref="C176">SUM(IF($I$116:$I$169=$A176,C$116:C$169,0))</f>
        <v>0.60799999999999998</v>
      </c>
      <c r="D176">
        <f t="array" ref="D176">SUM(IF($I$116:$I$169=$A176,D$116:D$169,0))</f>
        <v>0.63600000000000001</v>
      </c>
      <c r="E176">
        <f t="array" ref="E176">SUM(IF($I$116:$I$169=$A176,E$116:E$169,0))</f>
        <v>0.66400000000000003</v>
      </c>
      <c r="F176">
        <f t="array" ref="F176">SUM(IF($I$116:$I$169=$A176,F$116:F$169,0))</f>
        <v>0.157</v>
      </c>
      <c r="H176">
        <f t="array" ref="H176">SUM(IF($I$116:$I$169=$A176,H$116:H$169,0))</f>
        <v>2.0009999999999999</v>
      </c>
    </row>
    <row r="177" spans="1:8">
      <c r="A177" s="103" t="s">
        <v>1190</v>
      </c>
      <c r="B177">
        <f t="array" ref="B177">SUM(IF($I$116:$I$169=$A177,B$116:B$169,0))</f>
        <v>0.50700000000000001</v>
      </c>
      <c r="C177">
        <f t="array" ref="C177">SUM(IF($I$116:$I$169=$A177,C$116:C$169,0))</f>
        <v>2.13</v>
      </c>
      <c r="D177">
        <f t="array" ref="D177">SUM(IF($I$116:$I$169=$A177,D$116:D$169,0))</f>
        <v>1.6439999999999999</v>
      </c>
      <c r="E177">
        <f t="array" ref="E177">SUM(IF($I$116:$I$169=$A177,E$116:E$169,0))</f>
        <v>1.1639999999999999</v>
      </c>
      <c r="F177">
        <f t="array" ref="F177">SUM(IF($I$116:$I$169=$A177,F$116:F$169,0))</f>
        <v>1.1639999999999999</v>
      </c>
      <c r="H177">
        <f t="array" ref="H177">SUM(IF($I$116:$I$169=$A177,H$116:H$169,0))</f>
        <v>0</v>
      </c>
    </row>
    <row r="178" spans="1:8">
      <c r="A178" s="103" t="s">
        <v>1183</v>
      </c>
      <c r="B178">
        <f t="array" ref="B178">SUM(IF($I$116:$I$169=$A178,B$116:B$169,0))</f>
        <v>0</v>
      </c>
      <c r="C178">
        <f t="array" ref="C178">SUM(IF($I$116:$I$169=$A178,C$116:C$169,0))</f>
        <v>78.212999999999994</v>
      </c>
      <c r="D178">
        <f t="array" ref="D178">SUM(IF($I$116:$I$169=$A178,D$116:D$169,0))</f>
        <v>81.88</v>
      </c>
      <c r="E178">
        <f t="array" ref="E178">SUM(IF($I$116:$I$169=$A178,E$116:E$169,0))</f>
        <v>88.820999999999998</v>
      </c>
      <c r="F178">
        <f t="array" ref="F178">SUM(IF($I$116:$I$169=$A178,F$116:F$169,0))</f>
        <v>94.314999999999998</v>
      </c>
      <c r="H178">
        <f t="array" ref="H178">SUM(IF($I$116:$I$169=$A178,H$116:H$169,0))</f>
        <v>20.736999999999998</v>
      </c>
    </row>
    <row r="179" spans="1:8">
      <c r="A179" s="103" t="s">
        <v>1191</v>
      </c>
      <c r="B179">
        <f t="array" ref="B179">SUM(IF($I$116:$I$169=$A179,B$116:B$169,0))</f>
        <v>11.147</v>
      </c>
      <c r="C179">
        <f t="array" ref="C179">SUM(IF($I$116:$I$169=$A179,C$116:C$169,0))</f>
        <v>18.815999999999999</v>
      </c>
      <c r="D179">
        <f t="array" ref="D179">SUM(IF($I$116:$I$169=$A179,D$116:D$169,0))</f>
        <v>18.733000000000001</v>
      </c>
      <c r="E179">
        <f t="array" ref="E179">SUM(IF($I$116:$I$169=$A179,E$116:E$169,0))</f>
        <v>18.213999999999999</v>
      </c>
      <c r="F179">
        <f t="array" ref="F179">SUM(IF($I$116:$I$169=$A179,F$116:F$169,0))</f>
        <v>12.031000000000001</v>
      </c>
      <c r="H179">
        <f t="array" ref="H179">SUM(IF($I$116:$I$169=$A179,H$116:H$169,0))</f>
        <v>0</v>
      </c>
    </row>
    <row r="180" spans="1:8">
      <c r="A180" s="103" t="s">
        <v>1171</v>
      </c>
      <c r="B180">
        <f t="array" ref="B180">SUM(IF($I$116:$I$169=$A180,B$116:B$169,0))</f>
        <v>0</v>
      </c>
      <c r="C180">
        <f t="array" ref="C180">SUM(IF($I$116:$I$169=$A180,C$116:C$169,0))</f>
        <v>1.2869999999999999</v>
      </c>
      <c r="D180">
        <f t="array" ref="D180">SUM(IF($I$116:$I$169=$A180,D$116:D$169,0))</f>
        <v>1.7130000000000001</v>
      </c>
      <c r="E180">
        <f t="array" ref="E180">SUM(IF($I$116:$I$169=$A180,E$116:E$169,0))</f>
        <v>1.7130000000000001</v>
      </c>
      <c r="F180">
        <f t="array" ref="F180">SUM(IF($I$116:$I$169=$A180,F$116:F$169,0))</f>
        <v>1.7130000000000001</v>
      </c>
      <c r="H180">
        <f t="array" ref="H180">SUM(IF($I$116:$I$169=$A180,H$116:H$169,0))</f>
        <v>0</v>
      </c>
    </row>
    <row r="181" spans="1:8">
      <c r="A181" s="103" t="s">
        <v>1188</v>
      </c>
      <c r="B181">
        <f t="array" ref="B181">SUM(IF($I$116:$I$169=$A181,B$116:B$169,0))</f>
        <v>0.54800000000000004</v>
      </c>
      <c r="C181">
        <f t="array" ref="C181">SUM(IF($I$116:$I$169=$A181,C$116:C$169,0))</f>
        <v>6.7480000000000002</v>
      </c>
      <c r="D181">
        <f t="array" ref="D181">SUM(IF($I$116:$I$169=$A181,D$116:D$169,0))</f>
        <v>0</v>
      </c>
      <c r="E181">
        <f t="array" ref="E181">SUM(IF($I$116:$I$169=$A181,E$116:E$169,0))</f>
        <v>0</v>
      </c>
      <c r="F181">
        <f t="array" ref="F181">SUM(IF($I$116:$I$169=$A181,F$116:F$169,0))</f>
        <v>0</v>
      </c>
      <c r="H181">
        <f t="array" ref="H181">SUM(IF($I$116:$I$169=$A181,H$116:H$169,0))</f>
        <v>0</v>
      </c>
    </row>
    <row r="182" spans="1:8">
      <c r="A182" s="103" t="s">
        <v>1172</v>
      </c>
      <c r="B182">
        <f t="array" ref="B182">SUM(IF($I$116:$I$169=$A182,B$116:B$169,0))</f>
        <v>0</v>
      </c>
      <c r="C182">
        <f t="array" ref="C182">SUM(IF($I$116:$I$169=$A182,C$116:C$169,0))</f>
        <v>0.55299999999999994</v>
      </c>
      <c r="D182">
        <f t="array" ref="D182">SUM(IF($I$116:$I$169=$A182,D$116:D$169,0))</f>
        <v>0.156</v>
      </c>
      <c r="E182">
        <f t="array" ref="E182">SUM(IF($I$116:$I$169=$A182,E$116:E$169,0))</f>
        <v>0.16</v>
      </c>
      <c r="F182">
        <f t="array" ref="F182">SUM(IF($I$116:$I$169=$A182,F$116:F$169,0))</f>
        <v>0.16300000000000001</v>
      </c>
      <c r="H182">
        <f t="array" ref="H182">SUM(IF($I$116:$I$169=$A182,H$116:H$169,0))</f>
        <v>0</v>
      </c>
    </row>
    <row r="183" spans="1:8">
      <c r="A183" s="103" t="s">
        <v>1180</v>
      </c>
      <c r="B183">
        <f t="array" ref="B183">SUM(IF($I$116:$I$169=$A183,B$116:B$169,0))</f>
        <v>0</v>
      </c>
      <c r="C183">
        <f t="array" ref="C183">SUM(IF($I$116:$I$169=$A183,C$116:C$169,0))</f>
        <v>42.277000000000001</v>
      </c>
      <c r="D183">
        <f t="array" ref="D183">SUM(IF($I$116:$I$169=$A183,D$116:D$169,0))</f>
        <v>48.114999999999995</v>
      </c>
      <c r="E183">
        <f t="array" ref="E183">SUM(IF($I$116:$I$169=$A183,E$116:E$169,0))</f>
        <v>42.565000000000005</v>
      </c>
      <c r="F183">
        <f t="array" ref="F183">SUM(IF($I$116:$I$169=$A183,F$116:F$169,0))</f>
        <v>8.9600000000000009</v>
      </c>
      <c r="H183">
        <f t="array" ref="H183">SUM(IF($I$116:$I$169=$A183,H$116:H$169,0))</f>
        <v>1.4339999999999999</v>
      </c>
    </row>
    <row r="184" spans="1:8">
      <c r="A184" s="103" t="s">
        <v>1189</v>
      </c>
      <c r="B184">
        <f t="array" ref="B184">SUM(IF($I$116:$I$169=$A184,B$116:B$169,0))</f>
        <v>0</v>
      </c>
      <c r="C184">
        <f t="array" ref="C184">SUM(IF($I$116:$I$169=$A184,C$116:C$169,0))</f>
        <v>0.2</v>
      </c>
      <c r="D184">
        <f t="array" ref="D184">SUM(IF($I$116:$I$169=$A184,D$116:D$169,0))</f>
        <v>0</v>
      </c>
      <c r="E184">
        <f t="array" ref="E184">SUM(IF($I$116:$I$169=$A184,E$116:E$169,0))</f>
        <v>0</v>
      </c>
      <c r="F184">
        <f t="array" ref="F184">SUM(IF($I$116:$I$169=$A184,F$116:F$169,0))</f>
        <v>0</v>
      </c>
      <c r="H184">
        <f t="array" ref="H184">SUM(IF($I$116:$I$169=$A184,H$116:H$169,0))</f>
        <v>0</v>
      </c>
    </row>
    <row r="185" spans="1:8">
      <c r="A185" s="770" t="s">
        <v>1187</v>
      </c>
      <c r="B185" s="119">
        <f t="array" ref="B185">SUM(IF($I$116:$I$169=$A185,B$116:B$169,0))</f>
        <v>0</v>
      </c>
      <c r="C185" s="119">
        <f t="array" ref="C185">SUM(IF($I$116:$I$169=$A185,C$116:C$169,0))</f>
        <v>0</v>
      </c>
      <c r="D185" s="119">
        <f t="array" ref="D185">SUM(IF($I$116:$I$169=$A185,D$116:D$169,0))</f>
        <v>0</v>
      </c>
      <c r="E185" s="119">
        <f t="array" ref="E185">SUM(IF($I$116:$I$169=$A185,E$116:E$169,0))</f>
        <v>0</v>
      </c>
      <c r="F185" s="119">
        <f t="array" ref="F185">SUM(IF($I$116:$I$169=$A185,F$116:F$169,0))</f>
        <v>0</v>
      </c>
      <c r="G185" s="119"/>
      <c r="H185" s="119">
        <f t="array" ref="H185">SUM(IF($I$116:$I$169=$A185,H$116:H$169,0))</f>
        <v>113.43</v>
      </c>
    </row>
    <row r="186" spans="1:8">
      <c r="A186" s="9" t="s">
        <v>1196</v>
      </c>
      <c r="B186">
        <f>SUM(B173:B185)</f>
        <v>12.202</v>
      </c>
      <c r="C186">
        <f t="shared" ref="C186:H186" si="2">SUM(C173:C185)</f>
        <v>266.93299999999999</v>
      </c>
      <c r="D186">
        <f t="shared" si="2"/>
        <v>328.83300000000003</v>
      </c>
      <c r="E186">
        <f t="shared" si="2"/>
        <v>380.99199999999996</v>
      </c>
      <c r="F186">
        <f t="shared" si="2"/>
        <v>395.04499999999996</v>
      </c>
      <c r="H186">
        <f t="shared" si="2"/>
        <v>141.50200000000001</v>
      </c>
    </row>
    <row r="188" spans="1:8">
      <c r="A188" t="s">
        <v>1197</v>
      </c>
      <c r="B188" s="89">
        <f>B173/B186</f>
        <v>0</v>
      </c>
      <c r="C188" s="89">
        <f t="shared" ref="C188:H188" si="3">C173/C186</f>
        <v>0.36915630514024123</v>
      </c>
      <c r="D188" s="89">
        <f t="shared" si="3"/>
        <v>0.45183421371942595</v>
      </c>
      <c r="E188" s="89">
        <f t="shared" si="3"/>
        <v>0.49484241138921553</v>
      </c>
      <c r="F188" s="89">
        <f t="shared" si="3"/>
        <v>0.59399562075206624</v>
      </c>
      <c r="G188" s="89"/>
      <c r="H188" s="89">
        <f t="shared" si="3"/>
        <v>0</v>
      </c>
    </row>
    <row r="189" spans="1:8">
      <c r="A189" s="9"/>
    </row>
    <row r="190" spans="1:8">
      <c r="A190" s="409" t="s">
        <v>1198</v>
      </c>
      <c r="B190" s="409"/>
      <c r="C190" s="409"/>
      <c r="D190" s="409"/>
      <c r="E190" s="409"/>
      <c r="F190" s="409"/>
      <c r="G190" s="409"/>
    </row>
    <row r="191" spans="1:8">
      <c r="B191" s="417" t="s">
        <v>409</v>
      </c>
      <c r="C191" s="417" t="s">
        <v>415</v>
      </c>
      <c r="D191" s="417" t="s">
        <v>420</v>
      </c>
      <c r="E191" s="417" t="s">
        <v>426</v>
      </c>
      <c r="F191" s="417" t="s">
        <v>431</v>
      </c>
      <c r="G191" s="771" t="s">
        <v>1199</v>
      </c>
    </row>
    <row r="192" spans="1:8">
      <c r="A192" s="266" t="s">
        <v>1200</v>
      </c>
      <c r="B192" s="47">
        <f>B173*1000</f>
        <v>0</v>
      </c>
      <c r="C192" s="47">
        <f>C173*1000</f>
        <v>98540</v>
      </c>
      <c r="D192" s="47">
        <f>D173*1000</f>
        <v>148578</v>
      </c>
      <c r="E192" s="47">
        <f>E173*1000</f>
        <v>188530.99999999997</v>
      </c>
      <c r="F192" s="47">
        <f>F173*1000</f>
        <v>234654.99999999997</v>
      </c>
      <c r="G192" s="47">
        <f>H173*1000</f>
        <v>0</v>
      </c>
    </row>
    <row r="193" spans="1:7">
      <c r="A193" s="500" t="s">
        <v>1201</v>
      </c>
      <c r="B193" s="217">
        <f>B186*1000-B192</f>
        <v>12202</v>
      </c>
      <c r="C193" s="217">
        <f>C186*1000-C192</f>
        <v>168393</v>
      </c>
      <c r="D193" s="217">
        <f>D186*1000-D192</f>
        <v>180255</v>
      </c>
      <c r="E193" s="217">
        <f>E186*1000-E192</f>
        <v>192460.99999999997</v>
      </c>
      <c r="F193" s="217">
        <f>F186*1000-F192</f>
        <v>160389.99999999997</v>
      </c>
      <c r="G193" s="217">
        <f>(H186-G192)*1000</f>
        <v>141502</v>
      </c>
    </row>
    <row r="194" spans="1:7">
      <c r="A194" s="684" t="s">
        <v>156</v>
      </c>
      <c r="B194" s="47">
        <f t="shared" ref="B194:G194" si="4">SUM(B192:B193)</f>
        <v>12202</v>
      </c>
      <c r="C194" s="47">
        <f t="shared" si="4"/>
        <v>266933</v>
      </c>
      <c r="D194" s="47">
        <f t="shared" si="4"/>
        <v>328833</v>
      </c>
      <c r="E194" s="47">
        <f t="shared" si="4"/>
        <v>380991.99999999994</v>
      </c>
      <c r="F194" s="47">
        <f t="shared" si="4"/>
        <v>395044.99999999994</v>
      </c>
      <c r="G194" s="47">
        <f t="shared" si="4"/>
        <v>141502</v>
      </c>
    </row>
  </sheetData>
  <dataConsolidate/>
  <mergeCells count="5">
    <mergeCell ref="A104:A105"/>
    <mergeCell ref="B104:H104"/>
    <mergeCell ref="A190:G190"/>
    <mergeCell ref="A93:A94"/>
    <mergeCell ref="B93:H93"/>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Y179"/>
  <sheetViews>
    <sheetView topLeftCell="B1" zoomScale="85" zoomScaleNormal="85" workbookViewId="0">
      <pane xSplit="1" ySplit="7" topLeftCell="P107" activePane="bottomRight" state="frozen"/>
      <selection activeCell="F115" sqref="F115"/>
      <selection pane="topRight" activeCell="F115" sqref="F115"/>
      <selection pane="bottomLeft" activeCell="F115" sqref="F115"/>
      <selection pane="bottomRight" activeCell="S131" sqref="S131"/>
    </sheetView>
  </sheetViews>
  <sheetFormatPr defaultRowHeight="15"/>
  <cols>
    <col min="1" max="1" width="39.5703125" customWidth="1"/>
    <col min="2" max="2" width="50.5703125" customWidth="1"/>
    <col min="3" max="3" width="9" customWidth="1"/>
    <col min="4" max="7" width="9" bestFit="1" customWidth="1"/>
    <col min="8" max="9" width="9" customWidth="1"/>
    <col min="10" max="11" width="9" bestFit="1" customWidth="1"/>
    <col min="12" max="12" width="10.28515625" customWidth="1"/>
    <col min="13" max="14" width="9.7109375" customWidth="1"/>
    <col min="15" max="16" width="9" customWidth="1"/>
    <col min="17" max="17" width="59.85546875" customWidth="1"/>
    <col min="18" max="28" width="13.7109375" customWidth="1"/>
    <col min="29" max="29" width="17.5703125" customWidth="1"/>
    <col min="30" max="30" width="10.5703125" bestFit="1" customWidth="1"/>
    <col min="31" max="31" width="11.7109375" customWidth="1"/>
    <col min="32" max="32" width="42.85546875" customWidth="1"/>
    <col min="33" max="43" width="11.7109375" customWidth="1"/>
    <col min="44" max="44" width="14.28515625" bestFit="1" customWidth="1"/>
  </cols>
  <sheetData>
    <row r="1" spans="1:30" ht="15" customHeight="1">
      <c r="R1" s="1" t="s">
        <v>0</v>
      </c>
    </row>
    <row r="2" spans="1:30" ht="15" customHeight="1">
      <c r="R2" s="2" t="s">
        <v>1</v>
      </c>
      <c r="S2" s="2"/>
      <c r="T2" s="2"/>
      <c r="U2" s="2"/>
      <c r="V2" s="2"/>
      <c r="W2" s="2"/>
      <c r="X2" s="2"/>
      <c r="Y2" s="2"/>
      <c r="Z2" s="2"/>
      <c r="AA2" s="3"/>
      <c r="AB2" s="3"/>
    </row>
    <row r="3" spans="1:30" ht="15" customHeight="1">
      <c r="R3" s="2"/>
      <c r="S3" s="2"/>
      <c r="T3" s="2"/>
      <c r="U3" s="2"/>
      <c r="V3" s="2"/>
      <c r="W3" s="2"/>
      <c r="X3" s="2"/>
      <c r="Y3" s="2"/>
      <c r="Z3" s="2"/>
      <c r="AA3" s="3"/>
      <c r="AB3" s="3"/>
    </row>
    <row r="4" spans="1:30" ht="15" customHeight="1">
      <c r="A4" s="4" t="s">
        <v>2</v>
      </c>
      <c r="B4" s="4" t="s">
        <v>3</v>
      </c>
      <c r="R4" s="2"/>
      <c r="S4" s="2"/>
      <c r="T4" s="2"/>
      <c r="U4" s="2"/>
      <c r="V4" s="2"/>
      <c r="W4" s="2"/>
      <c r="X4" s="2"/>
      <c r="Y4" s="2"/>
      <c r="Z4" s="2"/>
      <c r="AA4" s="3"/>
      <c r="AB4" s="3"/>
      <c r="AC4" s="5"/>
      <c r="AD4" s="6"/>
    </row>
    <row r="5" spans="1:30" ht="15" customHeight="1">
      <c r="C5" s="7" t="s">
        <v>4</v>
      </c>
      <c r="D5" s="8"/>
      <c r="E5" s="8"/>
      <c r="F5" s="8"/>
      <c r="G5" s="8"/>
      <c r="H5" s="8"/>
      <c r="I5" s="8"/>
      <c r="J5" s="8"/>
      <c r="K5" s="8"/>
      <c r="L5" s="8"/>
      <c r="M5" s="8"/>
      <c r="N5" s="9"/>
      <c r="R5" s="2"/>
      <c r="S5" s="2"/>
      <c r="T5" s="2"/>
      <c r="U5" s="2"/>
      <c r="V5" s="2"/>
      <c r="W5" s="2"/>
      <c r="X5" s="2"/>
      <c r="Y5" s="2"/>
      <c r="Z5" s="2"/>
      <c r="AA5" s="3"/>
      <c r="AB5" s="3"/>
      <c r="AC5" s="5"/>
    </row>
    <row r="6" spans="1:30">
      <c r="A6" s="10" t="s">
        <v>5</v>
      </c>
      <c r="B6" s="11"/>
      <c r="C6" s="12"/>
      <c r="D6" s="13"/>
      <c r="E6" s="13"/>
      <c r="F6" s="13"/>
      <c r="G6" s="13"/>
      <c r="H6" s="13"/>
      <c r="I6" s="13"/>
      <c r="J6" s="13"/>
      <c r="K6" s="13"/>
      <c r="L6" s="13"/>
      <c r="M6" s="14" t="s">
        <v>6</v>
      </c>
      <c r="N6" s="14" t="s">
        <v>7</v>
      </c>
      <c r="O6" s="9"/>
      <c r="P6" s="9"/>
    </row>
    <row r="7" spans="1:30">
      <c r="A7" s="10" t="s">
        <v>8</v>
      </c>
      <c r="B7" s="10" t="s">
        <v>9</v>
      </c>
      <c r="C7" s="10">
        <v>2009</v>
      </c>
      <c r="D7" s="15">
        <v>2010</v>
      </c>
      <c r="E7" s="15">
        <v>2011</v>
      </c>
      <c r="F7" s="15">
        <v>2012</v>
      </c>
      <c r="G7" s="15">
        <v>2013</v>
      </c>
      <c r="H7" s="15">
        <v>2014</v>
      </c>
      <c r="I7" s="15">
        <v>2015</v>
      </c>
      <c r="J7" s="15">
        <v>2016</v>
      </c>
      <c r="K7" s="15">
        <v>2017</v>
      </c>
      <c r="L7" s="15">
        <v>2018</v>
      </c>
      <c r="M7" s="16">
        <v>2019</v>
      </c>
      <c r="N7" s="16">
        <v>2020</v>
      </c>
      <c r="O7" s="9"/>
      <c r="P7" s="9"/>
      <c r="R7" s="17">
        <v>2010</v>
      </c>
      <c r="S7" s="17">
        <v>2011</v>
      </c>
      <c r="T7" s="17">
        <v>2012</v>
      </c>
      <c r="U7" s="17">
        <v>2013</v>
      </c>
      <c r="V7" s="17">
        <v>2014</v>
      </c>
      <c r="W7" s="17">
        <v>2015</v>
      </c>
      <c r="X7" s="17">
        <v>2016</v>
      </c>
      <c r="Y7" s="18">
        <v>2017</v>
      </c>
      <c r="Z7" s="18">
        <v>2018</v>
      </c>
      <c r="AA7" s="18">
        <v>2019</v>
      </c>
      <c r="AB7" s="18">
        <v>2020</v>
      </c>
      <c r="AC7" s="9"/>
    </row>
    <row r="8" spans="1:30">
      <c r="A8" s="10" t="s">
        <v>10</v>
      </c>
      <c r="B8" s="10" t="s">
        <v>11</v>
      </c>
      <c r="C8" s="19">
        <v>27325</v>
      </c>
      <c r="D8" s="20">
        <v>26148</v>
      </c>
      <c r="E8" s="20"/>
      <c r="F8" s="20"/>
      <c r="G8" s="20"/>
      <c r="H8" s="20"/>
      <c r="I8" s="20"/>
      <c r="J8" s="20"/>
      <c r="K8" s="20"/>
      <c r="L8" s="20"/>
      <c r="M8" s="21"/>
      <c r="N8" s="22"/>
      <c r="O8" s="23"/>
      <c r="P8" s="23"/>
    </row>
    <row r="9" spans="1:30">
      <c r="A9" s="24"/>
      <c r="B9" s="12" t="s">
        <v>12</v>
      </c>
      <c r="C9" s="25">
        <v>33171</v>
      </c>
      <c r="D9" s="26">
        <v>34453</v>
      </c>
      <c r="E9" s="26"/>
      <c r="F9" s="26"/>
      <c r="G9" s="26"/>
      <c r="H9" s="26"/>
      <c r="I9" s="26"/>
      <c r="J9" s="26"/>
      <c r="K9" s="26"/>
      <c r="L9" s="26"/>
      <c r="M9" s="22"/>
      <c r="N9" s="22"/>
      <c r="O9" s="23"/>
      <c r="P9" s="23"/>
    </row>
    <row r="10" spans="1:30">
      <c r="A10" s="24"/>
      <c r="B10" s="12" t="s">
        <v>13</v>
      </c>
      <c r="C10" s="25">
        <v>8061</v>
      </c>
      <c r="D10" s="26">
        <v>7702</v>
      </c>
      <c r="E10" s="26"/>
      <c r="F10" s="26"/>
      <c r="G10" s="26"/>
      <c r="H10" s="26"/>
      <c r="I10" s="26"/>
      <c r="J10" s="26"/>
      <c r="K10" s="26"/>
      <c r="L10" s="26"/>
      <c r="M10" s="22"/>
      <c r="N10" s="22"/>
      <c r="O10" s="23"/>
      <c r="P10" s="23"/>
    </row>
    <row r="11" spans="1:30">
      <c r="A11" s="24"/>
      <c r="B11" s="12" t="s">
        <v>14</v>
      </c>
      <c r="C11" s="25"/>
      <c r="D11" s="26"/>
      <c r="E11" s="26">
        <v>24212</v>
      </c>
      <c r="F11" s="26"/>
      <c r="G11" s="26"/>
      <c r="H11" s="26"/>
      <c r="I11" s="26"/>
      <c r="J11" s="26"/>
      <c r="K11" s="26"/>
      <c r="L11" s="26"/>
      <c r="M11" s="22"/>
      <c r="N11" s="22"/>
      <c r="O11" s="23"/>
      <c r="P11" s="23"/>
    </row>
    <row r="12" spans="1:30">
      <c r="A12" s="24"/>
      <c r="B12" s="12" t="s">
        <v>15</v>
      </c>
      <c r="C12" s="25"/>
      <c r="D12" s="26"/>
      <c r="E12" s="26">
        <v>26950</v>
      </c>
      <c r="F12" s="26"/>
      <c r="G12" s="26"/>
      <c r="H12" s="26"/>
      <c r="I12" s="26"/>
      <c r="J12" s="26"/>
      <c r="K12" s="26"/>
      <c r="L12" s="26"/>
      <c r="M12" s="22"/>
      <c r="N12" s="22"/>
      <c r="O12" s="23"/>
      <c r="P12" s="23"/>
    </row>
    <row r="13" spans="1:30">
      <c r="A13" s="24"/>
      <c r="B13" s="12" t="s">
        <v>16</v>
      </c>
      <c r="C13" s="25"/>
      <c r="D13" s="26"/>
      <c r="E13" s="26">
        <v>59991</v>
      </c>
      <c r="F13" s="26"/>
      <c r="G13" s="26"/>
      <c r="H13" s="27"/>
      <c r="I13" s="26">
        <v>50338</v>
      </c>
      <c r="J13" s="26">
        <v>50109</v>
      </c>
      <c r="K13" s="26">
        <v>53501</v>
      </c>
      <c r="L13" s="26">
        <v>52840</v>
      </c>
      <c r="M13" s="22">
        <v>49318</v>
      </c>
      <c r="N13" s="22">
        <v>58618</v>
      </c>
      <c r="O13" s="23"/>
      <c r="P13" s="23"/>
    </row>
    <row r="14" spans="1:30">
      <c r="A14" s="24"/>
      <c r="B14" s="12" t="s">
        <v>17</v>
      </c>
      <c r="C14" s="25"/>
      <c r="D14" s="26"/>
      <c r="E14" s="26"/>
      <c r="F14" s="26">
        <v>74897</v>
      </c>
      <c r="G14" s="26">
        <v>74697</v>
      </c>
      <c r="H14" s="26">
        <v>69417</v>
      </c>
      <c r="I14" s="26"/>
      <c r="J14" s="26"/>
      <c r="K14" s="26"/>
      <c r="L14" s="26" t="s">
        <v>22</v>
      </c>
      <c r="M14" s="22" t="s">
        <v>22</v>
      </c>
      <c r="N14" s="22" t="s">
        <v>22</v>
      </c>
      <c r="O14" s="23"/>
      <c r="P14" s="23"/>
    </row>
    <row r="15" spans="1:30">
      <c r="A15" s="24"/>
      <c r="B15" s="12" t="s">
        <v>18</v>
      </c>
      <c r="C15" s="25">
        <v>61329</v>
      </c>
      <c r="D15" s="26">
        <v>67518</v>
      </c>
      <c r="E15" s="26"/>
      <c r="F15" s="26"/>
      <c r="G15" s="26"/>
      <c r="H15" s="26"/>
      <c r="I15" s="26"/>
      <c r="J15" s="26"/>
      <c r="K15" s="26"/>
      <c r="L15" s="26" t="s">
        <v>22</v>
      </c>
      <c r="M15" s="22" t="s">
        <v>22</v>
      </c>
      <c r="N15" s="22" t="s">
        <v>22</v>
      </c>
      <c r="O15" s="23"/>
      <c r="P15" s="23"/>
    </row>
    <row r="16" spans="1:30">
      <c r="A16" s="24"/>
      <c r="B16" s="9" t="s">
        <v>19</v>
      </c>
      <c r="C16" s="25"/>
      <c r="D16" s="26"/>
      <c r="E16" s="26"/>
      <c r="F16" s="26">
        <v>33859</v>
      </c>
      <c r="G16" s="26">
        <v>26310</v>
      </c>
      <c r="H16" s="28">
        <v>28626</v>
      </c>
      <c r="I16" s="28">
        <v>31252</v>
      </c>
      <c r="J16" s="28">
        <v>31790</v>
      </c>
      <c r="K16" s="28">
        <v>34054</v>
      </c>
      <c r="L16" s="28">
        <v>43368</v>
      </c>
      <c r="M16" s="22">
        <v>47374</v>
      </c>
      <c r="N16" s="22">
        <v>42441</v>
      </c>
      <c r="O16" s="23"/>
      <c r="P16" s="23"/>
    </row>
    <row r="17" spans="1:30">
      <c r="A17" s="24"/>
      <c r="B17" s="12" t="s">
        <v>20</v>
      </c>
      <c r="C17" s="25">
        <v>17908</v>
      </c>
      <c r="D17" s="26">
        <v>17907</v>
      </c>
      <c r="E17" s="26">
        <v>18377</v>
      </c>
      <c r="F17" s="26">
        <v>16440</v>
      </c>
      <c r="G17" s="26">
        <v>17340</v>
      </c>
      <c r="H17" s="26"/>
      <c r="I17" s="26">
        <v>17908</v>
      </c>
      <c r="J17" s="26">
        <v>17907</v>
      </c>
      <c r="K17" s="26">
        <v>18377</v>
      </c>
      <c r="L17" s="26">
        <v>15838</v>
      </c>
      <c r="M17" s="22">
        <v>15340</v>
      </c>
      <c r="N17" s="22">
        <v>17340</v>
      </c>
      <c r="O17" s="23"/>
      <c r="P17" s="23"/>
    </row>
    <row r="18" spans="1:30">
      <c r="A18" s="24"/>
      <c r="B18" s="12" t="s">
        <v>21</v>
      </c>
      <c r="C18" s="25"/>
      <c r="D18" s="26"/>
      <c r="E18" s="26"/>
      <c r="F18" s="26">
        <v>14065</v>
      </c>
      <c r="G18" s="26"/>
      <c r="H18" s="26"/>
      <c r="I18" s="26"/>
      <c r="J18" s="26" t="s">
        <v>22</v>
      </c>
      <c r="K18" s="26" t="s">
        <v>22</v>
      </c>
      <c r="L18" s="26" t="s">
        <v>22</v>
      </c>
      <c r="M18" s="22" t="s">
        <v>22</v>
      </c>
      <c r="N18" s="22" t="s">
        <v>22</v>
      </c>
      <c r="O18" s="23"/>
      <c r="P18" s="23"/>
    </row>
    <row r="19" spans="1:30">
      <c r="A19" s="24"/>
      <c r="B19" s="12" t="s">
        <v>23</v>
      </c>
      <c r="C19" s="25"/>
      <c r="D19" s="26"/>
      <c r="E19" s="26"/>
      <c r="F19" s="26"/>
      <c r="G19" s="26">
        <v>15750</v>
      </c>
      <c r="H19" s="26">
        <v>20036</v>
      </c>
      <c r="I19" s="26">
        <v>20878</v>
      </c>
      <c r="J19" s="26">
        <v>20705</v>
      </c>
      <c r="K19" s="26">
        <v>20521</v>
      </c>
      <c r="L19" s="26">
        <v>20586</v>
      </c>
      <c r="M19" s="22">
        <v>24901</v>
      </c>
      <c r="N19" s="22">
        <v>26895</v>
      </c>
      <c r="O19" s="23"/>
      <c r="P19" s="23"/>
    </row>
    <row r="20" spans="1:30">
      <c r="A20" s="24"/>
      <c r="B20" s="12" t="s">
        <v>24</v>
      </c>
      <c r="C20" s="25"/>
      <c r="D20" s="26"/>
      <c r="E20" s="26">
        <v>30988</v>
      </c>
      <c r="F20" s="26">
        <v>22518</v>
      </c>
      <c r="G20" s="26">
        <v>23102</v>
      </c>
      <c r="H20" s="26">
        <v>23980</v>
      </c>
      <c r="I20" s="26">
        <v>22910</v>
      </c>
      <c r="J20" s="26">
        <v>22739</v>
      </c>
      <c r="K20" s="26">
        <v>22042</v>
      </c>
      <c r="L20" s="26">
        <v>24819</v>
      </c>
      <c r="M20" s="22">
        <v>23043</v>
      </c>
      <c r="N20" s="22">
        <v>24646</v>
      </c>
      <c r="O20" s="23"/>
      <c r="P20" s="23"/>
    </row>
    <row r="21" spans="1:30">
      <c r="A21" s="24"/>
      <c r="B21" s="12" t="s">
        <v>25</v>
      </c>
      <c r="C21" s="25"/>
      <c r="D21" s="26"/>
      <c r="E21" s="26">
        <v>1923</v>
      </c>
      <c r="F21" s="26"/>
      <c r="G21" s="26"/>
      <c r="H21" s="26"/>
      <c r="I21" s="26"/>
      <c r="J21" s="26" t="s">
        <v>22</v>
      </c>
      <c r="K21" s="26" t="s">
        <v>22</v>
      </c>
      <c r="L21" s="26" t="s">
        <v>22</v>
      </c>
      <c r="M21" s="22" t="s">
        <v>22</v>
      </c>
      <c r="N21" s="22" t="s">
        <v>22</v>
      </c>
      <c r="O21" s="23"/>
      <c r="P21" s="23"/>
    </row>
    <row r="22" spans="1:30">
      <c r="A22" s="24"/>
      <c r="B22" s="12" t="s">
        <v>26</v>
      </c>
      <c r="C22" s="25"/>
      <c r="D22" s="26"/>
      <c r="E22" s="26"/>
      <c r="F22" s="26">
        <v>44107</v>
      </c>
      <c r="G22" s="26">
        <v>36521</v>
      </c>
      <c r="H22" s="26">
        <v>46456</v>
      </c>
      <c r="I22" s="26">
        <v>49900</v>
      </c>
      <c r="J22" s="26">
        <v>47050</v>
      </c>
      <c r="K22" s="26">
        <v>48010</v>
      </c>
      <c r="L22" s="26">
        <v>48465</v>
      </c>
      <c r="M22" s="22">
        <v>52426</v>
      </c>
      <c r="N22" s="22">
        <v>51026</v>
      </c>
      <c r="O22" s="23"/>
      <c r="P22" s="23"/>
    </row>
    <row r="23" spans="1:30">
      <c r="A23" s="24"/>
      <c r="B23" s="12" t="s">
        <v>27</v>
      </c>
      <c r="C23" s="25">
        <v>13865</v>
      </c>
      <c r="D23" s="26">
        <v>13303</v>
      </c>
      <c r="E23" s="26"/>
      <c r="F23" s="26"/>
      <c r="G23" s="26"/>
      <c r="H23" s="26"/>
      <c r="I23" s="26"/>
      <c r="J23" s="26"/>
      <c r="K23" s="26"/>
      <c r="L23" s="26" t="s">
        <v>22</v>
      </c>
      <c r="M23" s="22" t="s">
        <v>22</v>
      </c>
      <c r="N23" s="22" t="s">
        <v>22</v>
      </c>
      <c r="O23" s="23"/>
      <c r="P23" s="23"/>
    </row>
    <row r="24" spans="1:30">
      <c r="A24" s="24"/>
      <c r="B24" s="12" t="s">
        <v>28</v>
      </c>
      <c r="C24" s="25">
        <v>47784</v>
      </c>
      <c r="D24" s="26">
        <v>48007</v>
      </c>
      <c r="E24" s="26">
        <v>40936</v>
      </c>
      <c r="F24" s="26"/>
      <c r="G24" s="26"/>
      <c r="H24" s="26"/>
      <c r="I24" s="26"/>
      <c r="J24" s="26"/>
      <c r="K24" s="26"/>
      <c r="L24" s="26" t="s">
        <v>22</v>
      </c>
      <c r="M24" s="22" t="s">
        <v>22</v>
      </c>
      <c r="N24" s="22" t="s">
        <v>22</v>
      </c>
      <c r="O24" s="23"/>
      <c r="P24" s="23"/>
    </row>
    <row r="25" spans="1:30">
      <c r="A25" s="24"/>
      <c r="B25" s="12" t="s">
        <v>29</v>
      </c>
      <c r="C25" s="29"/>
      <c r="D25" s="30"/>
      <c r="E25" s="30">
        <v>3977</v>
      </c>
      <c r="F25" s="30"/>
      <c r="G25" s="30"/>
      <c r="H25" s="30"/>
      <c r="I25" s="30"/>
      <c r="J25" s="30"/>
      <c r="K25" s="30"/>
      <c r="L25" s="30" t="s">
        <v>22</v>
      </c>
      <c r="M25" s="31" t="s">
        <v>22</v>
      </c>
      <c r="N25" s="31" t="s">
        <v>22</v>
      </c>
      <c r="O25" s="23"/>
      <c r="P25" s="23"/>
    </row>
    <row r="26" spans="1:30" s="38" customFormat="1" ht="15.75" thickBot="1">
      <c r="A26" s="32" t="s">
        <v>30</v>
      </c>
      <c r="B26" s="33"/>
      <c r="C26" s="34">
        <f t="shared" ref="C26:N26" si="0">SUM(C8:C25)</f>
        <v>209443</v>
      </c>
      <c r="D26" s="34">
        <f t="shared" si="0"/>
        <v>215038</v>
      </c>
      <c r="E26" s="34">
        <f t="shared" si="0"/>
        <v>207354</v>
      </c>
      <c r="F26" s="34">
        <f t="shared" si="0"/>
        <v>205886</v>
      </c>
      <c r="G26" s="34">
        <f t="shared" si="0"/>
        <v>193720</v>
      </c>
      <c r="H26" s="34">
        <f t="shared" si="0"/>
        <v>188515</v>
      </c>
      <c r="I26" s="34">
        <f t="shared" si="0"/>
        <v>193186</v>
      </c>
      <c r="J26" s="34">
        <f t="shared" si="0"/>
        <v>190300</v>
      </c>
      <c r="K26" s="34">
        <f t="shared" si="0"/>
        <v>196505</v>
      </c>
      <c r="L26" s="35">
        <f t="shared" si="0"/>
        <v>205916</v>
      </c>
      <c r="M26" s="36">
        <f t="shared" si="0"/>
        <v>212402</v>
      </c>
      <c r="N26" s="37">
        <f t="shared" si="0"/>
        <v>220966</v>
      </c>
      <c r="O26" s="34"/>
      <c r="P26" s="34"/>
      <c r="R26" s="39">
        <f t="shared" ref="R26:R48" si="1">D26</f>
        <v>215038</v>
      </c>
      <c r="S26" s="39">
        <f t="shared" ref="S26:AB26" si="2">R26*(S$114*(1+S$138)+(1-S$114)*(1+S$140))</f>
        <v>223241.88919342082</v>
      </c>
      <c r="T26" s="39">
        <f t="shared" si="2"/>
        <v>227310.44842623884</v>
      </c>
      <c r="U26" s="39">
        <f t="shared" si="2"/>
        <v>226853.78072285655</v>
      </c>
      <c r="V26" s="39">
        <f t="shared" si="2"/>
        <v>231166.17011901783</v>
      </c>
      <c r="W26" s="39">
        <f t="shared" si="2"/>
        <v>235254.66594446771</v>
      </c>
      <c r="X26" s="39">
        <f t="shared" si="2"/>
        <v>236611.14894115351</v>
      </c>
      <c r="Y26" s="40">
        <f t="shared" si="2"/>
        <v>241762.32779759003</v>
      </c>
      <c r="Z26" s="40">
        <f t="shared" si="2"/>
        <v>249966.23467535843</v>
      </c>
      <c r="AA26" s="41">
        <f t="shared" si="2"/>
        <v>258349.8773827306</v>
      </c>
      <c r="AB26" s="41">
        <f t="shared" si="2"/>
        <v>267403.73297560069</v>
      </c>
      <c r="AC26" s="42"/>
      <c r="AD26" s="43"/>
    </row>
    <row r="27" spans="1:30">
      <c r="A27" s="10" t="s">
        <v>31</v>
      </c>
      <c r="B27" s="10" t="s">
        <v>32</v>
      </c>
      <c r="C27" s="44">
        <v>881089</v>
      </c>
      <c r="D27" s="45">
        <v>929801</v>
      </c>
      <c r="E27" s="45">
        <v>961356</v>
      </c>
      <c r="F27" s="45">
        <v>992268</v>
      </c>
      <c r="G27" s="45">
        <v>1051151</v>
      </c>
      <c r="H27" s="45">
        <v>1081812</v>
      </c>
      <c r="I27" s="45">
        <v>1092298</v>
      </c>
      <c r="J27" s="45">
        <v>1118297</v>
      </c>
      <c r="K27" s="45">
        <v>1195265</v>
      </c>
      <c r="L27" s="26">
        <v>1252079</v>
      </c>
      <c r="M27" s="21">
        <v>1330189</v>
      </c>
      <c r="N27" s="46">
        <v>1391484</v>
      </c>
      <c r="O27" s="23"/>
      <c r="P27" s="23"/>
      <c r="R27" s="47">
        <f t="shared" si="1"/>
        <v>929801</v>
      </c>
      <c r="S27" s="47">
        <f t="shared" ref="S27:AB37" si="3">R27*(S$115*(S$114*(1+S$136)+(1-S$114)*(1+S$140))+(1-S$115)*(S$114*(1+S$137)+(1-S$114)*(1+S$142)))*(1+S$126)</f>
        <v>972294.52386439522</v>
      </c>
      <c r="T27" s="47">
        <f t="shared" si="3"/>
        <v>1006226.3258911461</v>
      </c>
      <c r="U27" s="47">
        <f t="shared" si="3"/>
        <v>1029497.6694857486</v>
      </c>
      <c r="V27" s="47">
        <f t="shared" si="3"/>
        <v>1065872.7423868403</v>
      </c>
      <c r="W27" s="47">
        <f t="shared" si="3"/>
        <v>1103793.8832233194</v>
      </c>
      <c r="X27" s="47">
        <f t="shared" si="3"/>
        <v>1147286.9566743451</v>
      </c>
      <c r="Y27" s="48">
        <f t="shared" si="3"/>
        <v>1200778.8735385898</v>
      </c>
      <c r="Z27" s="48">
        <f t="shared" si="3"/>
        <v>1264418.3430020795</v>
      </c>
      <c r="AA27" s="49">
        <f t="shared" si="3"/>
        <v>1340497.483301823</v>
      </c>
      <c r="AB27" s="49">
        <f t="shared" si="3"/>
        <v>1413824.1536011805</v>
      </c>
      <c r="AC27" s="49"/>
      <c r="AD27" s="47"/>
    </row>
    <row r="28" spans="1:30">
      <c r="A28" s="24"/>
      <c r="B28" s="12" t="s">
        <v>33</v>
      </c>
      <c r="C28" s="50">
        <v>491063</v>
      </c>
      <c r="D28" s="23">
        <v>523202</v>
      </c>
      <c r="E28" s="23">
        <v>544162</v>
      </c>
      <c r="F28" s="23">
        <v>567609</v>
      </c>
      <c r="G28" s="23">
        <v>584772</v>
      </c>
      <c r="H28" s="23">
        <v>594254</v>
      </c>
      <c r="I28" s="23">
        <v>614392</v>
      </c>
      <c r="J28" s="23">
        <v>638060</v>
      </c>
      <c r="K28" s="23">
        <v>664889</v>
      </c>
      <c r="L28" s="26">
        <v>694747</v>
      </c>
      <c r="M28" s="22">
        <v>728953</v>
      </c>
      <c r="N28" s="51">
        <v>762449</v>
      </c>
      <c r="O28" s="23"/>
      <c r="P28" s="23"/>
      <c r="R28" s="47">
        <f t="shared" si="1"/>
        <v>523202</v>
      </c>
      <c r="S28" s="47">
        <f t="shared" si="3"/>
        <v>547113.24194628664</v>
      </c>
      <c r="T28" s="47">
        <f t="shared" si="3"/>
        <v>566206.77559918666</v>
      </c>
      <c r="U28" s="47">
        <f t="shared" si="3"/>
        <v>579301.63515664381</v>
      </c>
      <c r="V28" s="47">
        <f t="shared" si="3"/>
        <v>599770.00515409152</v>
      </c>
      <c r="W28" s="47">
        <f t="shared" si="3"/>
        <v>621108.3525294197</v>
      </c>
      <c r="X28" s="47">
        <f t="shared" si="3"/>
        <v>645582.04422874411</v>
      </c>
      <c r="Y28" s="48">
        <f t="shared" si="3"/>
        <v>675682.11713381356</v>
      </c>
      <c r="Z28" s="48">
        <f t="shared" si="3"/>
        <v>711492.25037978427</v>
      </c>
      <c r="AA28" s="49">
        <f t="shared" si="3"/>
        <v>754302.22623817367</v>
      </c>
      <c r="AB28" s="49">
        <f t="shared" si="3"/>
        <v>795563.37841370865</v>
      </c>
      <c r="AC28" s="49"/>
      <c r="AD28" s="47"/>
    </row>
    <row r="29" spans="1:30">
      <c r="A29" s="24"/>
      <c r="B29" s="12" t="s">
        <v>34</v>
      </c>
      <c r="C29" s="50">
        <v>1026481</v>
      </c>
      <c r="D29" s="23">
        <v>1078987</v>
      </c>
      <c r="E29" s="23">
        <v>1128270</v>
      </c>
      <c r="F29" s="23">
        <v>1178937</v>
      </c>
      <c r="G29" s="23">
        <v>1221996</v>
      </c>
      <c r="H29" s="23">
        <v>1252765</v>
      </c>
      <c r="I29" s="23">
        <v>1268439</v>
      </c>
      <c r="J29" s="23">
        <v>1314527</v>
      </c>
      <c r="K29" s="23">
        <v>1330249</v>
      </c>
      <c r="L29" s="26">
        <v>1378248</v>
      </c>
      <c r="M29" s="22">
        <v>1434372</v>
      </c>
      <c r="N29" s="51">
        <v>1510695</v>
      </c>
      <c r="O29" s="23"/>
      <c r="P29" s="23"/>
      <c r="R29" s="47">
        <f t="shared" si="1"/>
        <v>1078987</v>
      </c>
      <c r="S29" s="47">
        <f t="shared" si="3"/>
        <v>1128298.5836978797</v>
      </c>
      <c r="T29" s="47">
        <f t="shared" si="3"/>
        <v>1167674.7225420389</v>
      </c>
      <c r="U29" s="47">
        <f t="shared" si="3"/>
        <v>1194679.9389389986</v>
      </c>
      <c r="V29" s="47">
        <f t="shared" si="3"/>
        <v>1236891.3699702949</v>
      </c>
      <c r="W29" s="47">
        <f t="shared" si="3"/>
        <v>1280896.9345886703</v>
      </c>
      <c r="X29" s="47">
        <f t="shared" si="3"/>
        <v>1331368.4449911129</v>
      </c>
      <c r="Y29" s="48">
        <f t="shared" si="3"/>
        <v>1393443.1070979517</v>
      </c>
      <c r="Z29" s="48">
        <f t="shared" si="3"/>
        <v>1467293.4903928745</v>
      </c>
      <c r="AA29" s="49">
        <f t="shared" si="3"/>
        <v>1555579.4820777609</v>
      </c>
      <c r="AB29" s="49">
        <f t="shared" si="3"/>
        <v>1640671.3716393907</v>
      </c>
      <c r="AC29" s="49"/>
      <c r="AD29" s="47"/>
    </row>
    <row r="30" spans="1:30">
      <c r="A30" s="24"/>
      <c r="B30" s="12" t="s">
        <v>35</v>
      </c>
      <c r="C30" s="50">
        <v>536365</v>
      </c>
      <c r="D30" s="23">
        <v>569196</v>
      </c>
      <c r="E30" s="23">
        <v>597437</v>
      </c>
      <c r="F30" s="23">
        <v>623437</v>
      </c>
      <c r="G30" s="23">
        <v>643506</v>
      </c>
      <c r="H30" s="23">
        <v>672682</v>
      </c>
      <c r="I30" s="23">
        <v>678807</v>
      </c>
      <c r="J30" s="23">
        <v>690915</v>
      </c>
      <c r="K30" s="23">
        <v>702654</v>
      </c>
      <c r="L30" s="26">
        <v>735631</v>
      </c>
      <c r="M30" s="22">
        <v>778514</v>
      </c>
      <c r="N30" s="51">
        <v>817679</v>
      </c>
      <c r="O30" s="23"/>
      <c r="P30" s="23"/>
      <c r="R30" s="47">
        <f t="shared" si="1"/>
        <v>569196</v>
      </c>
      <c r="S30" s="47">
        <f t="shared" si="3"/>
        <v>595209.24779121368</v>
      </c>
      <c r="T30" s="47">
        <f t="shared" si="3"/>
        <v>615981.26888650015</v>
      </c>
      <c r="U30" s="47">
        <f t="shared" si="3"/>
        <v>630227.28033268417</v>
      </c>
      <c r="V30" s="47">
        <f t="shared" si="3"/>
        <v>652494.99782815878</v>
      </c>
      <c r="W30" s="47">
        <f t="shared" si="3"/>
        <v>675709.17126910004</v>
      </c>
      <c r="X30" s="47">
        <f t="shared" si="3"/>
        <v>702334.31303172454</v>
      </c>
      <c r="Y30" s="48">
        <f t="shared" si="3"/>
        <v>735080.44377524988</v>
      </c>
      <c r="Z30" s="48">
        <f t="shared" si="3"/>
        <v>774038.59875759622</v>
      </c>
      <c r="AA30" s="49">
        <f t="shared" si="3"/>
        <v>820611.94331417629</v>
      </c>
      <c r="AB30" s="49">
        <f t="shared" si="3"/>
        <v>865500.30913408101</v>
      </c>
      <c r="AC30" s="49"/>
      <c r="AD30" s="47"/>
    </row>
    <row r="31" spans="1:30">
      <c r="A31" s="24"/>
      <c r="B31" s="12" t="s">
        <v>36</v>
      </c>
      <c r="C31" s="50">
        <v>931177</v>
      </c>
      <c r="D31" s="23">
        <v>1004832</v>
      </c>
      <c r="E31" s="23">
        <v>1058245</v>
      </c>
      <c r="F31" s="23">
        <v>1121978</v>
      </c>
      <c r="G31" s="23">
        <v>1174745</v>
      </c>
      <c r="H31" s="23">
        <v>1208599</v>
      </c>
      <c r="I31" s="23">
        <v>1246364</v>
      </c>
      <c r="J31" s="23">
        <v>1274349</v>
      </c>
      <c r="K31" s="23">
        <v>1321733</v>
      </c>
      <c r="L31" s="26">
        <v>1375690</v>
      </c>
      <c r="M31" s="22">
        <v>1447124</v>
      </c>
      <c r="N31" s="51">
        <v>1524353</v>
      </c>
      <c r="O31" s="23"/>
      <c r="P31" s="23"/>
      <c r="R31" s="47">
        <f t="shared" si="1"/>
        <v>1004832</v>
      </c>
      <c r="S31" s="47">
        <f t="shared" si="3"/>
        <v>1050754.5711434039</v>
      </c>
      <c r="T31" s="47">
        <f t="shared" si="3"/>
        <v>1087424.5257833151</v>
      </c>
      <c r="U31" s="47">
        <f t="shared" si="3"/>
        <v>1112573.768176958</v>
      </c>
      <c r="V31" s="47">
        <f t="shared" si="3"/>
        <v>1151884.155295653</v>
      </c>
      <c r="W31" s="47">
        <f t="shared" si="3"/>
        <v>1192865.3714795473</v>
      </c>
      <c r="X31" s="47">
        <f t="shared" si="3"/>
        <v>1239868.1516249126</v>
      </c>
      <c r="Y31" s="48">
        <f t="shared" si="3"/>
        <v>1297676.6394696587</v>
      </c>
      <c r="Z31" s="48">
        <f t="shared" si="3"/>
        <v>1366451.5444008615</v>
      </c>
      <c r="AA31" s="49">
        <f t="shared" si="3"/>
        <v>1448669.9488827577</v>
      </c>
      <c r="AB31" s="49">
        <f t="shared" si="3"/>
        <v>1527913.7707008072</v>
      </c>
      <c r="AC31" s="49"/>
      <c r="AD31" s="47"/>
    </row>
    <row r="32" spans="1:30">
      <c r="A32" s="24"/>
      <c r="B32" s="12" t="s">
        <v>37</v>
      </c>
      <c r="C32" s="50">
        <v>357786</v>
      </c>
      <c r="D32" s="23">
        <v>378247</v>
      </c>
      <c r="E32" s="23">
        <v>392959</v>
      </c>
      <c r="F32" s="23">
        <v>401785</v>
      </c>
      <c r="G32" s="23">
        <v>419205</v>
      </c>
      <c r="H32" s="23">
        <v>426971</v>
      </c>
      <c r="I32" s="23">
        <v>435492</v>
      </c>
      <c r="J32" s="23">
        <v>457148</v>
      </c>
      <c r="K32" s="23">
        <v>470211</v>
      </c>
      <c r="L32" s="26">
        <v>482423</v>
      </c>
      <c r="M32" s="22">
        <v>501131</v>
      </c>
      <c r="N32" s="51">
        <v>524166</v>
      </c>
      <c r="O32" s="23"/>
      <c r="P32" s="23"/>
      <c r="R32" s="47">
        <f t="shared" si="1"/>
        <v>378247</v>
      </c>
      <c r="S32" s="47">
        <f t="shared" si="3"/>
        <v>395533.54617615585</v>
      </c>
      <c r="T32" s="47">
        <f t="shared" si="3"/>
        <v>409337.14750720671</v>
      </c>
      <c r="U32" s="47">
        <f t="shared" si="3"/>
        <v>418804.02902338881</v>
      </c>
      <c r="V32" s="47">
        <f t="shared" si="3"/>
        <v>433601.56333408458</v>
      </c>
      <c r="W32" s="47">
        <f t="shared" si="3"/>
        <v>449028.04465425498</v>
      </c>
      <c r="X32" s="47">
        <f t="shared" si="3"/>
        <v>466721.21185199951</v>
      </c>
      <c r="Y32" s="48">
        <f t="shared" si="3"/>
        <v>488481.95106194867</v>
      </c>
      <c r="Z32" s="48">
        <f t="shared" si="3"/>
        <v>514370.75781323912</v>
      </c>
      <c r="AA32" s="49">
        <f t="shared" si="3"/>
        <v>545320.0755499989</v>
      </c>
      <c r="AB32" s="49">
        <f t="shared" si="3"/>
        <v>575149.67678802845</v>
      </c>
      <c r="AC32" s="49"/>
      <c r="AD32" s="47"/>
    </row>
    <row r="33" spans="1:32">
      <c r="A33" s="24"/>
      <c r="B33" s="12" t="s">
        <v>38</v>
      </c>
      <c r="C33" s="50">
        <v>286986</v>
      </c>
      <c r="D33" s="23">
        <v>308597</v>
      </c>
      <c r="E33" s="23">
        <v>320061</v>
      </c>
      <c r="F33" s="23">
        <v>333279</v>
      </c>
      <c r="G33" s="23">
        <v>342306</v>
      </c>
      <c r="H33" s="23">
        <v>350076</v>
      </c>
      <c r="I33" s="23">
        <v>357834</v>
      </c>
      <c r="J33" s="23">
        <v>365331</v>
      </c>
      <c r="K33" s="23">
        <v>372954</v>
      </c>
      <c r="L33" s="26">
        <v>384878</v>
      </c>
      <c r="M33" s="22">
        <v>401752</v>
      </c>
      <c r="N33" s="51">
        <v>416836</v>
      </c>
      <c r="O33" s="23"/>
      <c r="P33" s="23"/>
      <c r="R33" s="47">
        <f t="shared" si="1"/>
        <v>308597</v>
      </c>
      <c r="S33" s="47">
        <f t="shared" si="3"/>
        <v>322700.41996188514</v>
      </c>
      <c r="T33" s="47">
        <f t="shared" si="3"/>
        <v>333962.24083543685</v>
      </c>
      <c r="U33" s="47">
        <f t="shared" si="3"/>
        <v>341685.90086512448</v>
      </c>
      <c r="V33" s="47">
        <f t="shared" si="3"/>
        <v>353758.63295732287</v>
      </c>
      <c r="W33" s="47">
        <f t="shared" si="3"/>
        <v>366344.49842607905</v>
      </c>
      <c r="X33" s="47">
        <f t="shared" si="3"/>
        <v>380779.66464741691</v>
      </c>
      <c r="Y33" s="48">
        <f t="shared" si="3"/>
        <v>398533.40449987492</v>
      </c>
      <c r="Z33" s="48">
        <f t="shared" si="3"/>
        <v>419655.07393024181</v>
      </c>
      <c r="AA33" s="49">
        <f t="shared" si="3"/>
        <v>444905.41723927233</v>
      </c>
      <c r="AB33" s="49">
        <f t="shared" si="3"/>
        <v>469242.22745389986</v>
      </c>
      <c r="AC33" s="49"/>
      <c r="AD33" s="47"/>
    </row>
    <row r="34" spans="1:32">
      <c r="A34" s="24"/>
      <c r="B34" s="12" t="s">
        <v>39</v>
      </c>
      <c r="C34" s="50">
        <v>234112</v>
      </c>
      <c r="D34" s="23">
        <v>244578</v>
      </c>
      <c r="E34" s="23">
        <v>251977</v>
      </c>
      <c r="F34" s="23">
        <v>259791</v>
      </c>
      <c r="G34" s="23">
        <v>268494</v>
      </c>
      <c r="H34" s="23">
        <v>273225</v>
      </c>
      <c r="I34" s="23">
        <v>278253</v>
      </c>
      <c r="J34" s="23">
        <v>284778</v>
      </c>
      <c r="K34" s="23">
        <v>298534</v>
      </c>
      <c r="L34" s="26">
        <v>314710</v>
      </c>
      <c r="M34" s="22">
        <v>327563</v>
      </c>
      <c r="N34" s="51">
        <v>340415</v>
      </c>
      <c r="O34" s="23"/>
      <c r="P34" s="23"/>
      <c r="R34" s="47">
        <f t="shared" si="1"/>
        <v>244578</v>
      </c>
      <c r="S34" s="47">
        <f t="shared" si="3"/>
        <v>255755.6402474358</v>
      </c>
      <c r="T34" s="47">
        <f t="shared" si="3"/>
        <v>264681.17622351961</v>
      </c>
      <c r="U34" s="47">
        <f t="shared" si="3"/>
        <v>270802.54915566387</v>
      </c>
      <c r="V34" s="47">
        <f t="shared" si="3"/>
        <v>280370.77136665658</v>
      </c>
      <c r="W34" s="47">
        <f t="shared" si="3"/>
        <v>290345.67651679559</v>
      </c>
      <c r="X34" s="47">
        <f t="shared" si="3"/>
        <v>301786.24166837637</v>
      </c>
      <c r="Y34" s="48">
        <f t="shared" si="3"/>
        <v>315856.93641147006</v>
      </c>
      <c r="Z34" s="48">
        <f t="shared" si="3"/>
        <v>332596.87771336304</v>
      </c>
      <c r="AA34" s="49">
        <f t="shared" si="3"/>
        <v>352608.99210798152</v>
      </c>
      <c r="AB34" s="49">
        <f t="shared" si="3"/>
        <v>371897.08748374076</v>
      </c>
      <c r="AC34" s="49"/>
      <c r="AD34" s="47"/>
    </row>
    <row r="35" spans="1:32">
      <c r="A35" s="24"/>
      <c r="B35" s="12" t="s">
        <v>40</v>
      </c>
      <c r="C35" s="50">
        <v>372802</v>
      </c>
      <c r="D35" s="23">
        <v>396915</v>
      </c>
      <c r="E35" s="23">
        <v>409407</v>
      </c>
      <c r="F35" s="23">
        <v>424655</v>
      </c>
      <c r="G35" s="23">
        <v>440480</v>
      </c>
      <c r="H35" s="23">
        <v>448449</v>
      </c>
      <c r="I35" s="23">
        <v>458021</v>
      </c>
      <c r="J35" s="23">
        <v>467256</v>
      </c>
      <c r="K35" s="23">
        <v>482762</v>
      </c>
      <c r="L35" s="26">
        <v>494251</v>
      </c>
      <c r="M35" s="22">
        <v>515382</v>
      </c>
      <c r="N35" s="51">
        <v>540792</v>
      </c>
      <c r="O35" s="23"/>
      <c r="P35" s="23"/>
      <c r="R35" s="47">
        <f t="shared" si="1"/>
        <v>396915</v>
      </c>
      <c r="S35" s="47">
        <f t="shared" si="3"/>
        <v>415054.70626471302</v>
      </c>
      <c r="T35" s="47">
        <f t="shared" si="3"/>
        <v>429539.57044688513</v>
      </c>
      <c r="U35" s="47">
        <f t="shared" si="3"/>
        <v>439473.68037239782</v>
      </c>
      <c r="V35" s="47">
        <f t="shared" si="3"/>
        <v>455001.53209608572</v>
      </c>
      <c r="W35" s="47">
        <f t="shared" si="3"/>
        <v>471189.37187590008</v>
      </c>
      <c r="X35" s="47">
        <f t="shared" si="3"/>
        <v>489755.76753348042</v>
      </c>
      <c r="Y35" s="48">
        <f t="shared" si="3"/>
        <v>512590.48612613807</v>
      </c>
      <c r="Z35" s="48">
        <f t="shared" si="3"/>
        <v>539757.00887896481</v>
      </c>
      <c r="AA35" s="49">
        <f t="shared" si="3"/>
        <v>572233.79904382001</v>
      </c>
      <c r="AB35" s="49">
        <f t="shared" si="3"/>
        <v>603535.61022908392</v>
      </c>
      <c r="AC35" s="49"/>
      <c r="AD35" s="47"/>
    </row>
    <row r="36" spans="1:32">
      <c r="A36" s="24"/>
      <c r="B36" s="12" t="s">
        <v>41</v>
      </c>
      <c r="C36" s="50">
        <v>309489</v>
      </c>
      <c r="D36" s="23">
        <v>324101</v>
      </c>
      <c r="E36" s="23">
        <v>333921</v>
      </c>
      <c r="F36" s="23">
        <v>345821</v>
      </c>
      <c r="G36" s="23">
        <v>359054</v>
      </c>
      <c r="H36" s="23">
        <v>368535</v>
      </c>
      <c r="I36" s="23">
        <v>378204</v>
      </c>
      <c r="J36" s="23">
        <v>394740</v>
      </c>
      <c r="K36" s="23">
        <v>403401</v>
      </c>
      <c r="L36" s="26">
        <v>418361</v>
      </c>
      <c r="M36" s="22">
        <v>442103</v>
      </c>
      <c r="N36" s="51">
        <v>462233</v>
      </c>
      <c r="O36" s="23"/>
      <c r="P36" s="23"/>
      <c r="R36" s="47">
        <f t="shared" si="1"/>
        <v>324101</v>
      </c>
      <c r="S36" s="47">
        <f t="shared" si="3"/>
        <v>338912.97974402516</v>
      </c>
      <c r="T36" s="47">
        <f t="shared" si="3"/>
        <v>350740.59766299056</v>
      </c>
      <c r="U36" s="47">
        <f t="shared" si="3"/>
        <v>358852.29654302436</v>
      </c>
      <c r="V36" s="47">
        <f t="shared" si="3"/>
        <v>371531.56608813856</v>
      </c>
      <c r="W36" s="47">
        <f t="shared" si="3"/>
        <v>384749.74897484633</v>
      </c>
      <c r="X36" s="47">
        <f t="shared" si="3"/>
        <v>399910.14200362435</v>
      </c>
      <c r="Y36" s="48">
        <f t="shared" si="3"/>
        <v>418555.83473531483</v>
      </c>
      <c r="Z36" s="48">
        <f t="shared" si="3"/>
        <v>440738.66277334286</v>
      </c>
      <c r="AA36" s="49">
        <f t="shared" si="3"/>
        <v>467257.59042591276</v>
      </c>
      <c r="AB36" s="49">
        <f t="shared" si="3"/>
        <v>492817.08882470144</v>
      </c>
      <c r="AC36" s="49"/>
      <c r="AD36" s="47"/>
    </row>
    <row r="37" spans="1:32">
      <c r="A37" s="24"/>
      <c r="B37" s="12" t="s">
        <v>42</v>
      </c>
      <c r="C37" s="50">
        <v>389332</v>
      </c>
      <c r="D37" s="23">
        <v>418039</v>
      </c>
      <c r="E37" s="23">
        <v>430962</v>
      </c>
      <c r="F37" s="23">
        <v>447987</v>
      </c>
      <c r="G37" s="23">
        <v>465630</v>
      </c>
      <c r="H37" s="23">
        <v>476203</v>
      </c>
      <c r="I37" s="23">
        <v>487868</v>
      </c>
      <c r="J37" s="23">
        <v>511786</v>
      </c>
      <c r="K37" s="23">
        <v>536633</v>
      </c>
      <c r="L37" s="26">
        <v>564287</v>
      </c>
      <c r="M37" s="22">
        <v>603896</v>
      </c>
      <c r="N37" s="51">
        <v>632077</v>
      </c>
      <c r="O37" s="23"/>
      <c r="P37" s="23"/>
      <c r="R37" s="47">
        <f t="shared" si="1"/>
        <v>418039</v>
      </c>
      <c r="S37" s="47">
        <f t="shared" si="3"/>
        <v>437144.10982753074</v>
      </c>
      <c r="T37" s="47">
        <f t="shared" si="3"/>
        <v>452399.86518535559</v>
      </c>
      <c r="U37" s="47">
        <f t="shared" si="3"/>
        <v>462862.67303880386</v>
      </c>
      <c r="V37" s="47">
        <f t="shared" si="3"/>
        <v>479216.924217819</v>
      </c>
      <c r="W37" s="47">
        <f t="shared" si="3"/>
        <v>496266.28832276288</v>
      </c>
      <c r="X37" s="47">
        <f t="shared" si="3"/>
        <v>515820.79615012946</v>
      </c>
      <c r="Y37" s="48">
        <f t="shared" si="3"/>
        <v>539870.78903464135</v>
      </c>
      <c r="Z37" s="48">
        <f t="shared" si="3"/>
        <v>568483.12670156988</v>
      </c>
      <c r="AA37" s="49">
        <f t="shared" si="3"/>
        <v>602688.34666989045</v>
      </c>
      <c r="AB37" s="49">
        <f t="shared" si="3"/>
        <v>635656.05473352259</v>
      </c>
      <c r="AC37" s="49"/>
      <c r="AD37" s="47"/>
    </row>
    <row r="38" spans="1:32">
      <c r="A38" s="24"/>
      <c r="B38" s="12" t="s">
        <v>43</v>
      </c>
      <c r="C38" s="50">
        <v>418527</v>
      </c>
      <c r="D38" s="23">
        <v>362709</v>
      </c>
      <c r="E38" s="23"/>
      <c r="F38" s="23"/>
      <c r="G38" s="23" t="s">
        <v>22</v>
      </c>
      <c r="H38" s="23" t="s">
        <v>22</v>
      </c>
      <c r="I38" s="23" t="s">
        <v>22</v>
      </c>
      <c r="J38" s="23" t="s">
        <v>22</v>
      </c>
      <c r="K38" s="23" t="s">
        <v>22</v>
      </c>
      <c r="L38" s="26" t="s">
        <v>22</v>
      </c>
      <c r="M38" s="22" t="s">
        <v>22</v>
      </c>
      <c r="N38" s="51" t="s">
        <v>22</v>
      </c>
      <c r="O38" s="23"/>
      <c r="P38" s="23"/>
      <c r="R38" s="47">
        <f t="shared" si="1"/>
        <v>362709</v>
      </c>
      <c r="S38" s="47"/>
      <c r="T38" s="47"/>
      <c r="U38" s="47"/>
      <c r="V38" s="47"/>
      <c r="W38" s="47"/>
      <c r="X38" s="47"/>
      <c r="Y38" s="48"/>
      <c r="Z38" s="48"/>
      <c r="AA38" s="49"/>
      <c r="AB38" s="49"/>
      <c r="AC38" s="49"/>
    </row>
    <row r="39" spans="1:32">
      <c r="A39" s="24"/>
      <c r="B39" s="12" t="s">
        <v>44</v>
      </c>
      <c r="C39" s="50">
        <v>137705</v>
      </c>
      <c r="D39" s="23">
        <v>143397</v>
      </c>
      <c r="E39" s="23">
        <v>148374</v>
      </c>
      <c r="F39" s="23">
        <v>152692</v>
      </c>
      <c r="G39" s="23">
        <v>156132</v>
      </c>
      <c r="H39" s="23">
        <v>161180</v>
      </c>
      <c r="I39" s="23">
        <v>164568</v>
      </c>
      <c r="J39" s="23">
        <v>167795</v>
      </c>
      <c r="K39" s="23">
        <v>171495</v>
      </c>
      <c r="L39" s="26">
        <v>177017</v>
      </c>
      <c r="M39" s="22">
        <v>182428</v>
      </c>
      <c r="N39" s="51">
        <v>190066</v>
      </c>
      <c r="O39" s="23"/>
      <c r="P39" s="23"/>
      <c r="R39" s="47">
        <f t="shared" si="1"/>
        <v>143397</v>
      </c>
      <c r="S39" s="47">
        <f t="shared" ref="S39:AB40" si="4">R39*(S$115*(S$114*(1+S$136)+(1-S$114)*(1+S$140))+(1-S$115)*(S$114*(1+S$137)+(1-S$114)*(1+S$142)))*(1+S$126)</f>
        <v>149950.49245869028</v>
      </c>
      <c r="T39" s="47">
        <f t="shared" si="4"/>
        <v>155183.56772450521</v>
      </c>
      <c r="U39" s="47">
        <f t="shared" si="4"/>
        <v>158772.55166562297</v>
      </c>
      <c r="V39" s="47">
        <f t="shared" si="4"/>
        <v>164382.43628480259</v>
      </c>
      <c r="W39" s="47">
        <f t="shared" si="4"/>
        <v>170230.76063864672</v>
      </c>
      <c r="X39" s="47">
        <f t="shared" si="4"/>
        <v>176938.40695614554</v>
      </c>
      <c r="Y39" s="48">
        <f t="shared" si="4"/>
        <v>185188.10813153908</v>
      </c>
      <c r="Z39" s="48">
        <f t="shared" si="4"/>
        <v>195002.79858966509</v>
      </c>
      <c r="AA39" s="49">
        <f t="shared" si="4"/>
        <v>206735.97642187035</v>
      </c>
      <c r="AB39" s="49">
        <f t="shared" si="4"/>
        <v>218044.65918400654</v>
      </c>
      <c r="AC39" s="49"/>
      <c r="AD39" s="47"/>
    </row>
    <row r="40" spans="1:32">
      <c r="A40" s="24"/>
      <c r="B40" s="12" t="s">
        <v>45</v>
      </c>
      <c r="C40" s="50"/>
      <c r="D40" s="23">
        <v>113580</v>
      </c>
      <c r="E40" s="23">
        <v>701674</v>
      </c>
      <c r="F40" s="23">
        <v>722810</v>
      </c>
      <c r="G40" s="23">
        <v>742987</v>
      </c>
      <c r="H40" s="23">
        <v>759117</v>
      </c>
      <c r="I40" s="23">
        <v>776461</v>
      </c>
      <c r="J40" s="23">
        <v>791729</v>
      </c>
      <c r="K40" s="23">
        <v>818588</v>
      </c>
      <c r="L40" s="26">
        <v>846384</v>
      </c>
      <c r="M40" s="22">
        <v>884027</v>
      </c>
      <c r="N40" s="51">
        <v>926825</v>
      </c>
      <c r="O40" s="23"/>
      <c r="P40" s="23"/>
      <c r="R40" s="47">
        <f t="shared" si="1"/>
        <v>113580</v>
      </c>
      <c r="S40" s="47">
        <f>R40*(S$115*(S$114*(1+S$136)+(1-S$114)*(1+S$140))+(1-S$115)*(S$114*(1+S$137)+(1-S$114)*(1+S$142)))*(1+S$126)+R38*(S$115*(S$114*(1+S$136)+(1-S$114)*(1+S$140))+(1-S$115)*(S$114*(1+S$137)+(1-S$114)*(1+S$142)))*(1+S$126)+R41*(S$115*(S$114*(1+S$136)+(1-S$114)*(1+S$140))+(1-S$115)*(S$114*(1+S$137)+(1-S$114)*(1+S$142)))*(1+S$126)</f>
        <v>712625.8677046292</v>
      </c>
      <c r="T40" s="47">
        <f t="shared" si="4"/>
        <v>737495.57463868521</v>
      </c>
      <c r="U40" s="47">
        <f t="shared" si="4"/>
        <v>754551.88938151009</v>
      </c>
      <c r="V40" s="47">
        <f t="shared" si="4"/>
        <v>781212.3479696475</v>
      </c>
      <c r="W40" s="47">
        <f t="shared" si="4"/>
        <v>809005.96937722259</v>
      </c>
      <c r="X40" s="47">
        <f t="shared" si="4"/>
        <v>840883.43905995938</v>
      </c>
      <c r="Y40" s="48">
        <f t="shared" si="4"/>
        <v>880089.38204836473</v>
      </c>
      <c r="Z40" s="48">
        <f t="shared" si="4"/>
        <v>926732.79207852017</v>
      </c>
      <c r="AA40" s="49">
        <f t="shared" si="4"/>
        <v>982493.63618452707</v>
      </c>
      <c r="AB40" s="49">
        <f t="shared" si="4"/>
        <v>1036237.1066715202</v>
      </c>
      <c r="AC40" s="49"/>
      <c r="AD40" s="47"/>
    </row>
    <row r="41" spans="1:32">
      <c r="A41" s="24"/>
      <c r="B41" s="12" t="s">
        <v>46</v>
      </c>
      <c r="C41" s="50">
        <v>234601</v>
      </c>
      <c r="D41" s="23">
        <v>205192</v>
      </c>
      <c r="E41" s="23"/>
      <c r="F41" s="23"/>
      <c r="G41" s="23" t="s">
        <v>22</v>
      </c>
      <c r="H41" s="23" t="s">
        <v>22</v>
      </c>
      <c r="I41" s="23" t="s">
        <v>22</v>
      </c>
      <c r="J41" s="23" t="s">
        <v>22</v>
      </c>
      <c r="K41" s="23" t="s">
        <v>22</v>
      </c>
      <c r="L41" s="26" t="s">
        <v>22</v>
      </c>
      <c r="M41" s="22" t="s">
        <v>22</v>
      </c>
      <c r="N41" s="51" t="s">
        <v>22</v>
      </c>
      <c r="O41" s="23"/>
      <c r="P41" s="23"/>
      <c r="R41" s="47">
        <f t="shared" si="1"/>
        <v>205192</v>
      </c>
      <c r="S41" s="47"/>
      <c r="T41" s="47"/>
      <c r="U41" s="47"/>
      <c r="V41" s="47"/>
      <c r="W41" s="47"/>
      <c r="X41" s="47"/>
      <c r="Y41" s="48"/>
      <c r="Z41" s="48"/>
      <c r="AA41" s="49"/>
      <c r="AB41" s="49"/>
      <c r="AC41" s="49"/>
    </row>
    <row r="42" spans="1:32">
      <c r="A42" s="24"/>
      <c r="B42" s="12" t="s">
        <v>47</v>
      </c>
      <c r="C42" s="50">
        <v>115404</v>
      </c>
      <c r="D42" s="23">
        <v>124073</v>
      </c>
      <c r="E42" s="23">
        <v>128385</v>
      </c>
      <c r="F42" s="23">
        <v>133819</v>
      </c>
      <c r="G42" s="23">
        <v>137333</v>
      </c>
      <c r="H42" s="23">
        <v>141540</v>
      </c>
      <c r="I42" s="23">
        <v>144332</v>
      </c>
      <c r="J42" s="23">
        <v>147136</v>
      </c>
      <c r="K42" s="23">
        <v>154031</v>
      </c>
      <c r="L42" s="26">
        <v>160653</v>
      </c>
      <c r="M42" s="22">
        <v>166215</v>
      </c>
      <c r="N42" s="51">
        <v>171979</v>
      </c>
      <c r="O42" s="23"/>
      <c r="P42" s="23"/>
      <c r="R42" s="47">
        <f t="shared" si="1"/>
        <v>124073</v>
      </c>
      <c r="S42" s="47">
        <f t="shared" ref="S42:AB48" si="5">R42*(S$115*(S$114*(1+S$136)+(1-S$114)*(1+S$140))+(1-S$115)*(S$114*(1+S$137)+(1-S$114)*(1+S$142)))*(1+S$126)</f>
        <v>129743.35202847395</v>
      </c>
      <c r="T42" s="47">
        <f t="shared" si="5"/>
        <v>134271.22463010062</v>
      </c>
      <c r="U42" s="47">
        <f t="shared" si="5"/>
        <v>137376.5615934004</v>
      </c>
      <c r="V42" s="47">
        <f t="shared" si="5"/>
        <v>142230.46519218889</v>
      </c>
      <c r="W42" s="47">
        <f t="shared" si="5"/>
        <v>147290.6766858359</v>
      </c>
      <c r="X42" s="47">
        <f t="shared" si="5"/>
        <v>153094.40899230697</v>
      </c>
      <c r="Y42" s="48">
        <f t="shared" si="5"/>
        <v>160232.39077668602</v>
      </c>
      <c r="Z42" s="48">
        <f t="shared" si="5"/>
        <v>168724.46584946351</v>
      </c>
      <c r="AA42" s="49">
        <f t="shared" si="5"/>
        <v>178876.49534223677</v>
      </c>
      <c r="AB42" s="49">
        <f t="shared" si="5"/>
        <v>188661.23418856217</v>
      </c>
      <c r="AC42" s="49"/>
      <c r="AD42" s="47"/>
    </row>
    <row r="43" spans="1:32">
      <c r="A43" s="52"/>
      <c r="B43" s="9" t="s">
        <v>48</v>
      </c>
      <c r="C43" s="50">
        <v>257639</v>
      </c>
      <c r="D43" s="23">
        <v>266194</v>
      </c>
      <c r="E43" s="23">
        <v>275360</v>
      </c>
      <c r="F43" s="23">
        <v>282559</v>
      </c>
      <c r="G43" s="23">
        <v>290877</v>
      </c>
      <c r="H43" s="23">
        <v>297728</v>
      </c>
      <c r="I43" s="23">
        <v>304188</v>
      </c>
      <c r="J43" s="23">
        <v>318643</v>
      </c>
      <c r="K43" s="23">
        <v>324724</v>
      </c>
      <c r="L43" s="26">
        <v>335661</v>
      </c>
      <c r="M43" s="22">
        <v>349770</v>
      </c>
      <c r="N43" s="51">
        <v>362111</v>
      </c>
      <c r="O43" s="23"/>
      <c r="P43" s="23"/>
      <c r="R43" s="47">
        <f t="shared" si="1"/>
        <v>266194</v>
      </c>
      <c r="S43" s="47">
        <f t="shared" si="5"/>
        <v>278359.52906649793</v>
      </c>
      <c r="T43" s="47">
        <f t="shared" si="5"/>
        <v>288073.91107803467</v>
      </c>
      <c r="U43" s="47">
        <f t="shared" si="5"/>
        <v>294736.29586447997</v>
      </c>
      <c r="V43" s="47">
        <f t="shared" si="5"/>
        <v>305150.16523634898</v>
      </c>
      <c r="W43" s="47">
        <f t="shared" si="5"/>
        <v>316006.66051203239</v>
      </c>
      <c r="X43" s="47">
        <f t="shared" si="5"/>
        <v>328458.35199679341</v>
      </c>
      <c r="Y43" s="48">
        <f t="shared" si="5"/>
        <v>343772.62603797077</v>
      </c>
      <c r="Z43" s="48">
        <f t="shared" si="5"/>
        <v>361992.05679182475</v>
      </c>
      <c r="AA43" s="49">
        <f t="shared" si="5"/>
        <v>383772.85792341083</v>
      </c>
      <c r="AB43" s="49">
        <f t="shared" si="5"/>
        <v>404765.65065397066</v>
      </c>
      <c r="AC43" s="49"/>
      <c r="AD43" s="47"/>
    </row>
    <row r="44" spans="1:32">
      <c r="A44" s="52"/>
      <c r="B44" s="9" t="s">
        <v>49</v>
      </c>
      <c r="C44" s="50">
        <v>781121</v>
      </c>
      <c r="D44" s="23">
        <v>840495</v>
      </c>
      <c r="E44" s="23">
        <v>872148</v>
      </c>
      <c r="F44" s="23">
        <v>918893</v>
      </c>
      <c r="G44" s="23">
        <v>948108</v>
      </c>
      <c r="H44" s="23">
        <v>981493</v>
      </c>
      <c r="I44" s="23">
        <v>1002406</v>
      </c>
      <c r="J44" s="23">
        <v>1042740</v>
      </c>
      <c r="K44" s="23">
        <v>1088798</v>
      </c>
      <c r="L44" s="26">
        <v>1150494</v>
      </c>
      <c r="M44" s="22">
        <v>1206301</v>
      </c>
      <c r="N44" s="51">
        <v>1262909</v>
      </c>
      <c r="O44" s="23"/>
      <c r="P44" s="23"/>
      <c r="R44" s="47">
        <f t="shared" si="1"/>
        <v>840495</v>
      </c>
      <c r="S44" s="47">
        <f t="shared" si="5"/>
        <v>878907.08424211724</v>
      </c>
      <c r="T44" s="47">
        <f t="shared" si="5"/>
        <v>909579.78726617724</v>
      </c>
      <c r="U44" s="47">
        <f t="shared" si="5"/>
        <v>930615.95299900125</v>
      </c>
      <c r="V44" s="47">
        <f t="shared" si="5"/>
        <v>963497.25437209406</v>
      </c>
      <c r="W44" s="47">
        <f t="shared" si="5"/>
        <v>997776.12616009673</v>
      </c>
      <c r="X44" s="47">
        <f t="shared" si="5"/>
        <v>1037091.7547410724</v>
      </c>
      <c r="Y44" s="48">
        <f t="shared" si="5"/>
        <v>1085445.8527306565</v>
      </c>
      <c r="Z44" s="48">
        <f t="shared" si="5"/>
        <v>1142972.8460192373</v>
      </c>
      <c r="AA44" s="49">
        <f t="shared" si="5"/>
        <v>1211744.6983040087</v>
      </c>
      <c r="AB44" s="49">
        <f t="shared" si="5"/>
        <v>1278028.4512288375</v>
      </c>
      <c r="AC44" s="49"/>
      <c r="AD44" s="47"/>
    </row>
    <row r="45" spans="1:32">
      <c r="A45" s="52"/>
      <c r="B45" s="9" t="s">
        <v>50</v>
      </c>
      <c r="C45" s="50">
        <v>99868</v>
      </c>
      <c r="D45" s="23">
        <v>105025</v>
      </c>
      <c r="E45" s="23">
        <v>108153</v>
      </c>
      <c r="F45" s="23">
        <v>112592</v>
      </c>
      <c r="G45" s="23">
        <v>115965</v>
      </c>
      <c r="H45" s="23">
        <v>119820</v>
      </c>
      <c r="I45" s="23">
        <v>122511</v>
      </c>
      <c r="J45" s="23">
        <v>128179</v>
      </c>
      <c r="K45" s="23">
        <v>130946</v>
      </c>
      <c r="L45" s="26">
        <v>135248</v>
      </c>
      <c r="M45" s="22">
        <v>140650</v>
      </c>
      <c r="N45" s="51">
        <v>149112</v>
      </c>
      <c r="O45" s="23"/>
      <c r="P45" s="23"/>
      <c r="R45" s="47">
        <f t="shared" si="1"/>
        <v>105025</v>
      </c>
      <c r="S45" s="47">
        <f t="shared" si="5"/>
        <v>109824.82527858984</v>
      </c>
      <c r="T45" s="47">
        <f t="shared" si="5"/>
        <v>113657.56745445274</v>
      </c>
      <c r="U45" s="47">
        <f t="shared" si="5"/>
        <v>116286.16525228597</v>
      </c>
      <c r="V45" s="47">
        <f t="shared" si="5"/>
        <v>120394.88532404018</v>
      </c>
      <c r="W45" s="47">
        <f t="shared" si="5"/>
        <v>124678.24038211307</v>
      </c>
      <c r="X45" s="47">
        <f t="shared" si="5"/>
        <v>129590.96906189935</v>
      </c>
      <c r="Y45" s="48">
        <f t="shared" si="5"/>
        <v>135633.10987339268</v>
      </c>
      <c r="Z45" s="48">
        <f t="shared" si="5"/>
        <v>142821.46015523042</v>
      </c>
      <c r="AA45" s="49">
        <f t="shared" si="5"/>
        <v>151414.92446639005</v>
      </c>
      <c r="AB45" s="49">
        <f t="shared" si="5"/>
        <v>159697.48551783012</v>
      </c>
      <c r="AC45" s="49"/>
      <c r="AD45" s="47"/>
    </row>
    <row r="46" spans="1:32">
      <c r="A46" s="52"/>
      <c r="B46" s="9" t="s">
        <v>51</v>
      </c>
      <c r="C46" s="50">
        <v>1012346</v>
      </c>
      <c r="D46" s="23">
        <v>1074747</v>
      </c>
      <c r="E46" s="23">
        <v>1124558</v>
      </c>
      <c r="F46" s="23">
        <v>1173790</v>
      </c>
      <c r="G46" s="23">
        <v>1217875</v>
      </c>
      <c r="H46" s="23">
        <v>1258963</v>
      </c>
      <c r="I46" s="23">
        <v>1311848</v>
      </c>
      <c r="J46" s="23">
        <v>1349320</v>
      </c>
      <c r="K46" s="23">
        <v>1391674</v>
      </c>
      <c r="L46" s="26">
        <v>1464456</v>
      </c>
      <c r="M46" s="22">
        <v>1541548</v>
      </c>
      <c r="N46" s="51">
        <v>1622080</v>
      </c>
      <c r="O46" s="23"/>
      <c r="P46" s="23"/>
      <c r="R46" s="47">
        <f t="shared" si="1"/>
        <v>1074747</v>
      </c>
      <c r="S46" s="47">
        <f t="shared" si="5"/>
        <v>1123864.8083188629</v>
      </c>
      <c r="T46" s="47">
        <f t="shared" si="5"/>
        <v>1163086.2142249057</v>
      </c>
      <c r="U46" s="47">
        <f t="shared" si="5"/>
        <v>1189985.3106060328</v>
      </c>
      <c r="V46" s="47">
        <f t="shared" si="5"/>
        <v>1232030.8671017017</v>
      </c>
      <c r="W46" s="47">
        <f t="shared" si="5"/>
        <v>1275863.5069360142</v>
      </c>
      <c r="X46" s="47">
        <f t="shared" si="5"/>
        <v>1326136.6838978259</v>
      </c>
      <c r="Y46" s="48">
        <f t="shared" si="5"/>
        <v>1387967.4166826867</v>
      </c>
      <c r="Z46" s="48">
        <f t="shared" si="5"/>
        <v>1461527.5966432127</v>
      </c>
      <c r="AA46" s="49">
        <f t="shared" si="5"/>
        <v>1549466.6586572654</v>
      </c>
      <c r="AB46" s="49">
        <f t="shared" si="5"/>
        <v>1634224.1701293155</v>
      </c>
      <c r="AC46" s="49"/>
      <c r="AD46" s="47"/>
    </row>
    <row r="47" spans="1:32">
      <c r="A47" s="52"/>
      <c r="B47" s="9" t="s">
        <v>52</v>
      </c>
      <c r="C47" s="50">
        <v>101682</v>
      </c>
      <c r="D47" s="23">
        <v>106821</v>
      </c>
      <c r="E47" s="23">
        <v>109818</v>
      </c>
      <c r="F47" s="23">
        <v>112998</v>
      </c>
      <c r="G47" s="23">
        <v>114610</v>
      </c>
      <c r="H47" s="23">
        <v>117472</v>
      </c>
      <c r="I47" s="23">
        <v>119604</v>
      </c>
      <c r="J47" s="23">
        <v>121928</v>
      </c>
      <c r="K47" s="23">
        <v>124489</v>
      </c>
      <c r="L47" s="26">
        <v>128075</v>
      </c>
      <c r="M47" s="22">
        <v>133949</v>
      </c>
      <c r="N47" s="51">
        <v>137668</v>
      </c>
      <c r="O47" s="23"/>
      <c r="P47" s="23"/>
      <c r="R47" s="47">
        <f t="shared" si="1"/>
        <v>106821</v>
      </c>
      <c r="S47" s="47">
        <f t="shared" si="5"/>
        <v>111702.90560422989</v>
      </c>
      <c r="T47" s="47">
        <f t="shared" si="5"/>
        <v>115601.19031708733</v>
      </c>
      <c r="U47" s="47">
        <f t="shared" si="5"/>
        <v>118274.73895181566</v>
      </c>
      <c r="V47" s="47">
        <f t="shared" si="5"/>
        <v>122453.72097309494</v>
      </c>
      <c r="W47" s="47">
        <f t="shared" si="5"/>
        <v>126810.32435951155</v>
      </c>
      <c r="X47" s="47">
        <f t="shared" si="5"/>
        <v>131807.06409103688</v>
      </c>
      <c r="Y47" s="48">
        <f t="shared" si="5"/>
        <v>137952.529681368</v>
      </c>
      <c r="Z47" s="48">
        <f t="shared" si="5"/>
        <v>145263.8057152284</v>
      </c>
      <c r="AA47" s="49">
        <f t="shared" si="5"/>
        <v>154004.22419827894</v>
      </c>
      <c r="AB47" s="49">
        <f t="shared" si="5"/>
        <v>162428.42276124854</v>
      </c>
      <c r="AC47" s="49"/>
      <c r="AD47" s="47"/>
    </row>
    <row r="48" spans="1:32">
      <c r="A48" s="52"/>
      <c r="B48" s="9" t="s">
        <v>53</v>
      </c>
      <c r="C48" s="50">
        <v>171453</v>
      </c>
      <c r="D48" s="23">
        <v>180492</v>
      </c>
      <c r="E48" s="23">
        <v>185626</v>
      </c>
      <c r="F48" s="23">
        <v>191186</v>
      </c>
      <c r="G48" s="23">
        <v>195688</v>
      </c>
      <c r="H48" s="23">
        <v>198470</v>
      </c>
      <c r="I48" s="23">
        <v>202295</v>
      </c>
      <c r="J48" s="23">
        <v>206464</v>
      </c>
      <c r="K48" s="23">
        <v>210551</v>
      </c>
      <c r="L48" s="26">
        <v>218554</v>
      </c>
      <c r="M48" s="22">
        <v>226852</v>
      </c>
      <c r="N48" s="51">
        <v>234337</v>
      </c>
      <c r="O48" s="23"/>
      <c r="P48" s="23"/>
      <c r="R48" s="47">
        <f t="shared" si="1"/>
        <v>180492</v>
      </c>
      <c r="S48" s="47">
        <f t="shared" si="5"/>
        <v>188740.79851638406</v>
      </c>
      <c r="T48" s="47">
        <f t="shared" si="5"/>
        <v>195327.60452262874</v>
      </c>
      <c r="U48" s="47">
        <f t="shared" si="5"/>
        <v>199845.01346075314</v>
      </c>
      <c r="V48" s="47">
        <f t="shared" si="5"/>
        <v>206906.10465990633</v>
      </c>
      <c r="W48" s="47">
        <f t="shared" si="5"/>
        <v>214267.3169535668</v>
      </c>
      <c r="X48" s="47">
        <f t="shared" si="5"/>
        <v>222710.14699281447</v>
      </c>
      <c r="Y48" s="48">
        <f t="shared" si="5"/>
        <v>233093.94208301252</v>
      </c>
      <c r="Z48" s="48">
        <f t="shared" si="5"/>
        <v>245447.56949619469</v>
      </c>
      <c r="AA48" s="49">
        <f t="shared" si="5"/>
        <v>260215.97283301759</v>
      </c>
      <c r="AB48" s="49">
        <f t="shared" si="5"/>
        <v>274450.06956519111</v>
      </c>
      <c r="AC48" s="49"/>
      <c r="AD48" s="47"/>
      <c r="AE48" s="53"/>
      <c r="AF48" s="53"/>
    </row>
    <row r="49" spans="1:32">
      <c r="A49" s="52"/>
      <c r="B49" s="54" t="s">
        <v>54</v>
      </c>
      <c r="C49" s="50"/>
      <c r="D49" s="23"/>
      <c r="E49" s="23"/>
      <c r="F49" s="23"/>
      <c r="G49" s="23"/>
      <c r="H49" s="23"/>
      <c r="I49" s="23"/>
      <c r="J49" s="23"/>
      <c r="K49" s="23"/>
      <c r="L49" s="26">
        <v>0</v>
      </c>
      <c r="M49" s="22">
        <v>30</v>
      </c>
      <c r="N49" s="51">
        <v>0</v>
      </c>
      <c r="O49" s="23"/>
      <c r="P49" s="23"/>
      <c r="R49" s="47"/>
      <c r="S49" s="47"/>
      <c r="T49" s="47"/>
      <c r="U49" s="47"/>
      <c r="V49" s="47"/>
      <c r="W49" s="47"/>
      <c r="X49" s="47"/>
      <c r="Y49" s="48">
        <f>K49</f>
        <v>0</v>
      </c>
      <c r="Z49" s="48">
        <f>L49</f>
        <v>0</v>
      </c>
      <c r="AA49" s="49">
        <f>M49</f>
        <v>30</v>
      </c>
      <c r="AB49" s="49">
        <f>O49</f>
        <v>0</v>
      </c>
      <c r="AC49" s="49"/>
      <c r="AD49" s="47"/>
      <c r="AE49" s="53"/>
      <c r="AF49" s="53"/>
    </row>
    <row r="50" spans="1:32">
      <c r="A50" s="52"/>
      <c r="B50" s="9" t="s">
        <v>55</v>
      </c>
      <c r="C50" s="50">
        <v>1751</v>
      </c>
      <c r="D50" s="23">
        <v>1700</v>
      </c>
      <c r="E50" s="23">
        <v>1800</v>
      </c>
      <c r="F50" s="23">
        <v>1900</v>
      </c>
      <c r="G50" s="23"/>
      <c r="H50" s="23"/>
      <c r="I50" s="23"/>
      <c r="J50" s="23"/>
      <c r="K50" s="23"/>
      <c r="L50" s="26" t="s">
        <v>22</v>
      </c>
      <c r="M50" s="22" t="s">
        <v>22</v>
      </c>
      <c r="N50" s="51" t="s">
        <v>22</v>
      </c>
      <c r="O50" s="23"/>
      <c r="P50" s="23"/>
      <c r="R50" s="47">
        <f>D50</f>
        <v>1700</v>
      </c>
      <c r="S50" s="47">
        <f>R50*(S$114*(1+S$138)+(1-S$114)*(1+S$142))</f>
        <v>1764.856498055299</v>
      </c>
      <c r="T50" s="47">
        <f>S50*(T$114*(1+T$138)+(1-T$114)*(1+T$142))</f>
        <v>1797.0208164352625</v>
      </c>
      <c r="U50" s="47"/>
      <c r="V50" s="47"/>
      <c r="W50" s="47"/>
      <c r="X50" s="47"/>
      <c r="Y50" s="48"/>
      <c r="Z50" s="55"/>
      <c r="AA50" s="56"/>
      <c r="AB50" s="56"/>
      <c r="AC50" s="56"/>
      <c r="AD50" s="47"/>
    </row>
    <row r="51" spans="1:32">
      <c r="A51" s="52"/>
      <c r="B51" s="9" t="s">
        <v>56</v>
      </c>
      <c r="C51" s="50"/>
      <c r="D51" s="23"/>
      <c r="E51" s="23"/>
      <c r="F51" s="23"/>
      <c r="G51" s="23"/>
      <c r="H51" s="23"/>
      <c r="I51" s="23"/>
      <c r="J51" s="23"/>
      <c r="K51" s="23">
        <v>2561</v>
      </c>
      <c r="L51" s="26">
        <v>5270</v>
      </c>
      <c r="M51" s="22">
        <v>4558</v>
      </c>
      <c r="N51" s="51">
        <v>0</v>
      </c>
      <c r="O51" s="23"/>
      <c r="P51" s="23"/>
      <c r="R51" s="47"/>
      <c r="S51" s="47"/>
      <c r="T51" s="47"/>
      <c r="U51" s="47"/>
      <c r="V51" s="47"/>
      <c r="W51" s="47"/>
      <c r="X51" s="47"/>
      <c r="Y51" s="48">
        <f>K51</f>
        <v>2561</v>
      </c>
      <c r="Z51" s="48">
        <f>L51</f>
        <v>5270</v>
      </c>
      <c r="AA51" s="49">
        <f>M51</f>
        <v>4558</v>
      </c>
      <c r="AB51" s="49">
        <f>O51</f>
        <v>0</v>
      </c>
      <c r="AC51" s="56"/>
      <c r="AD51" s="47"/>
    </row>
    <row r="52" spans="1:32">
      <c r="A52" s="52"/>
      <c r="B52" s="9" t="s">
        <v>57</v>
      </c>
      <c r="C52" s="50">
        <v>174858</v>
      </c>
      <c r="D52" s="23"/>
      <c r="E52" s="23"/>
      <c r="F52" s="23"/>
      <c r="G52" s="23"/>
      <c r="H52" s="23"/>
      <c r="I52" s="23"/>
      <c r="J52" s="23"/>
      <c r="K52" s="23"/>
      <c r="L52" s="26">
        <v>0</v>
      </c>
      <c r="M52" s="22">
        <v>0</v>
      </c>
      <c r="N52" s="51">
        <v>23681</v>
      </c>
      <c r="O52" s="23"/>
      <c r="P52" s="23"/>
      <c r="R52" s="47">
        <f t="shared" ref="R52:Z69" si="6">D52</f>
        <v>0</v>
      </c>
      <c r="S52" s="47">
        <f t="shared" si="6"/>
        <v>0</v>
      </c>
      <c r="T52" s="47">
        <f t="shared" si="6"/>
        <v>0</v>
      </c>
      <c r="U52" s="47">
        <f t="shared" si="6"/>
        <v>0</v>
      </c>
      <c r="V52" s="47">
        <f t="shared" si="6"/>
        <v>0</v>
      </c>
      <c r="W52" s="47">
        <f t="shared" si="6"/>
        <v>0</v>
      </c>
      <c r="X52" s="47">
        <f t="shared" si="6"/>
        <v>0</v>
      </c>
      <c r="Y52" s="48">
        <f t="shared" si="6"/>
        <v>0</v>
      </c>
      <c r="Z52" s="48">
        <f t="shared" si="6"/>
        <v>0</v>
      </c>
      <c r="AA52" s="47">
        <f>O52</f>
        <v>0</v>
      </c>
      <c r="AB52" s="47">
        <f>P52</f>
        <v>0</v>
      </c>
      <c r="AC52" s="49"/>
      <c r="AD52" s="47"/>
    </row>
    <row r="53" spans="1:32">
      <c r="A53" s="52"/>
      <c r="B53" s="9" t="s">
        <v>58</v>
      </c>
      <c r="C53" s="50">
        <v>117188</v>
      </c>
      <c r="D53" s="23">
        <v>117420</v>
      </c>
      <c r="E53" s="23">
        <v>126616</v>
      </c>
      <c r="F53" s="23">
        <v>155749</v>
      </c>
      <c r="G53" s="23">
        <v>166061</v>
      </c>
      <c r="H53" s="23">
        <v>169280</v>
      </c>
      <c r="I53" s="23">
        <v>176560</v>
      </c>
      <c r="J53" s="23">
        <v>176252</v>
      </c>
      <c r="K53" s="23">
        <v>184657</v>
      </c>
      <c r="L53" s="26">
        <v>186609</v>
      </c>
      <c r="M53" s="22">
        <v>187120</v>
      </c>
      <c r="N53" s="51">
        <v>211641</v>
      </c>
      <c r="O53" s="23"/>
      <c r="P53" s="23"/>
      <c r="R53" s="47">
        <f t="shared" si="6"/>
        <v>117420</v>
      </c>
      <c r="S53" s="47">
        <f t="shared" ref="S53:AB53" si="7">R53*(S$114*(1+S$138)+(1-S$114)*(1+S$142))</f>
        <v>121899.67647156071</v>
      </c>
      <c r="T53" s="47">
        <f t="shared" si="7"/>
        <v>124121.28486225208</v>
      </c>
      <c r="U53" s="47">
        <f t="shared" si="7"/>
        <v>123871.92464809855</v>
      </c>
      <c r="V53" s="47">
        <f t="shared" si="7"/>
        <v>126226.67479875684</v>
      </c>
      <c r="W53" s="47">
        <f t="shared" si="7"/>
        <v>128459.16942679619</v>
      </c>
      <c r="X53" s="47">
        <f t="shared" si="7"/>
        <v>129199.86750560481</v>
      </c>
      <c r="Y53" s="48">
        <f t="shared" si="7"/>
        <v>132012.63279045108</v>
      </c>
      <c r="Z53" s="48">
        <f t="shared" si="7"/>
        <v>136492.31891842643</v>
      </c>
      <c r="AA53" s="49">
        <f t="shared" si="7"/>
        <v>141070.1485424912</v>
      </c>
      <c r="AB53" s="49">
        <f t="shared" si="7"/>
        <v>146013.94323791622</v>
      </c>
      <c r="AC53" s="49"/>
      <c r="AD53" s="47"/>
    </row>
    <row r="54" spans="1:32">
      <c r="A54" s="52"/>
      <c r="B54" s="9" t="s">
        <v>59</v>
      </c>
      <c r="C54" s="50">
        <v>1177</v>
      </c>
      <c r="D54" s="23">
        <v>560</v>
      </c>
      <c r="E54" s="23">
        <v>6</v>
      </c>
      <c r="F54" s="23"/>
      <c r="G54" s="23" t="s">
        <v>22</v>
      </c>
      <c r="H54" s="23" t="s">
        <v>22</v>
      </c>
      <c r="I54" s="23" t="s">
        <v>22</v>
      </c>
      <c r="J54" s="23" t="s">
        <v>22</v>
      </c>
      <c r="K54" s="23" t="s">
        <v>22</v>
      </c>
      <c r="L54" s="26" t="s">
        <v>22</v>
      </c>
      <c r="M54" s="22" t="s">
        <v>22</v>
      </c>
      <c r="N54" s="51" t="s">
        <v>22</v>
      </c>
      <c r="O54" s="23"/>
      <c r="P54" s="23"/>
      <c r="R54" s="47">
        <f t="shared" si="6"/>
        <v>560</v>
      </c>
      <c r="S54" s="47">
        <f t="shared" si="6"/>
        <v>6</v>
      </c>
      <c r="T54" s="47">
        <f t="shared" si="6"/>
        <v>0</v>
      </c>
      <c r="U54" s="47" t="str">
        <f t="shared" si="6"/>
        <v/>
      </c>
      <c r="V54" s="47" t="str">
        <f t="shared" si="6"/>
        <v/>
      </c>
      <c r="W54" s="47" t="str">
        <f t="shared" si="6"/>
        <v/>
      </c>
      <c r="X54" s="47" t="str">
        <f t="shared" si="6"/>
        <v/>
      </c>
      <c r="Y54" s="48" t="str">
        <f t="shared" si="6"/>
        <v/>
      </c>
      <c r="Z54" s="48"/>
      <c r="AA54" s="49"/>
      <c r="AB54" s="49"/>
      <c r="AC54" s="49"/>
      <c r="AD54" s="47"/>
    </row>
    <row r="55" spans="1:32">
      <c r="A55" s="52"/>
      <c r="B55" s="9" t="s">
        <v>60</v>
      </c>
      <c r="C55" s="50">
        <v>14641</v>
      </c>
      <c r="D55" s="23">
        <v>14790</v>
      </c>
      <c r="E55" s="23">
        <v>14834</v>
      </c>
      <c r="F55" s="23">
        <v>14482</v>
      </c>
      <c r="G55" s="23">
        <v>12838</v>
      </c>
      <c r="H55" s="23">
        <v>26995</v>
      </c>
      <c r="I55" s="23">
        <v>27583</v>
      </c>
      <c r="J55" s="23">
        <v>27510</v>
      </c>
      <c r="K55" s="23">
        <v>28642</v>
      </c>
      <c r="L55" s="26">
        <v>29844</v>
      </c>
      <c r="M55" s="22">
        <v>29546</v>
      </c>
      <c r="N55" s="51">
        <v>31546</v>
      </c>
      <c r="O55" s="23"/>
      <c r="P55" s="23"/>
      <c r="R55" s="47">
        <f t="shared" si="6"/>
        <v>14790</v>
      </c>
      <c r="S55" s="47">
        <f>R55*(S$114*(1+S$138)+(1-S$114)*(1+S$142))</f>
        <v>15354.251533081102</v>
      </c>
      <c r="T55" s="47">
        <f>S55*(T$114*(1+T$138)+(1-T$114)*(1+T$142))</f>
        <v>15634.081102986785</v>
      </c>
      <c r="U55" s="47">
        <f>T55*(U$114*(1+U$138)+(1-U$114)*(1+U$142))</f>
        <v>15602.672164413025</v>
      </c>
      <c r="V55" s="47">
        <f>U55*(V$114*(1+V$138)+(1-V$114)*(1+V$142))+12976</f>
        <v>28875.272017319141</v>
      </c>
      <c r="W55" s="47">
        <f t="shared" ref="W55:AB55" si="8">V55*(W$114*(1+W$138)+(1-W$114)*(1+W$142))</f>
        <v>29385.971437743661</v>
      </c>
      <c r="X55" s="47">
        <f t="shared" si="8"/>
        <v>29555.41152275266</v>
      </c>
      <c r="Y55" s="48">
        <f t="shared" si="8"/>
        <v>30198.852085932325</v>
      </c>
      <c r="Z55" s="48">
        <f t="shared" si="8"/>
        <v>31223.612943363813</v>
      </c>
      <c r="AA55" s="49">
        <f t="shared" si="8"/>
        <v>32270.824840964349</v>
      </c>
      <c r="AB55" s="49">
        <f t="shared" si="8"/>
        <v>33401.75391642141</v>
      </c>
      <c r="AC55" s="49"/>
      <c r="AD55" s="47"/>
    </row>
    <row r="56" spans="1:32">
      <c r="A56" s="52"/>
      <c r="B56" s="9" t="s">
        <v>61</v>
      </c>
      <c r="C56" s="50">
        <v>299</v>
      </c>
      <c r="D56" s="23">
        <v>337</v>
      </c>
      <c r="E56" s="23">
        <v>322</v>
      </c>
      <c r="F56" s="23">
        <v>258</v>
      </c>
      <c r="G56" s="23">
        <v>282</v>
      </c>
      <c r="H56" s="23">
        <v>230</v>
      </c>
      <c r="I56" s="23">
        <v>242</v>
      </c>
      <c r="J56" s="23"/>
      <c r="K56" s="23"/>
      <c r="L56" s="26" t="s">
        <v>22</v>
      </c>
      <c r="M56" s="22" t="s">
        <v>22</v>
      </c>
      <c r="N56" s="51" t="s">
        <v>22</v>
      </c>
      <c r="O56" s="23"/>
      <c r="P56" s="23"/>
      <c r="R56" s="47">
        <f t="shared" si="6"/>
        <v>337</v>
      </c>
      <c r="S56" s="47">
        <f>R56*(S$114*(1+S$138)+(1-S$114)*(1+S$140))</f>
        <v>349.85684696743283</v>
      </c>
      <c r="T56" s="47">
        <f>S56*(T$114*(1+T$138)+(1-T$114)*(1+T$140))</f>
        <v>356.23295008157857</v>
      </c>
      <c r="U56" s="47">
        <f>T56*(U$114*(1+U$138)+(1-U$114)*(1+U$140))</f>
        <v>355.51727649811966</v>
      </c>
      <c r="V56" s="47">
        <f>U56*(V$114*(1+V$138)+(1-V$114)*(1+V$140))</f>
        <v>362.27550167927996</v>
      </c>
      <c r="W56" s="47">
        <f>V56*(W$114*(1+W$138)+(1-W$114)*(1+W$140))</f>
        <v>368.68284872108933</v>
      </c>
      <c r="X56" s="47"/>
      <c r="Y56" s="48"/>
      <c r="Z56" s="48"/>
      <c r="AA56" s="49"/>
      <c r="AB56" s="49"/>
      <c r="AC56" s="49"/>
    </row>
    <row r="57" spans="1:32">
      <c r="A57" s="52"/>
      <c r="B57" s="9" t="s">
        <v>62</v>
      </c>
      <c r="C57" s="50">
        <v>52292</v>
      </c>
      <c r="D57" s="23">
        <v>57583</v>
      </c>
      <c r="E57" s="23">
        <v>59821</v>
      </c>
      <c r="F57" s="23">
        <v>77768</v>
      </c>
      <c r="G57" s="23">
        <v>81366</v>
      </c>
      <c r="H57" s="23">
        <v>78821</v>
      </c>
      <c r="I57" s="23">
        <v>82538</v>
      </c>
      <c r="J57" s="23">
        <v>83559</v>
      </c>
      <c r="K57" s="23">
        <v>81764</v>
      </c>
      <c r="L57" s="26">
        <v>82170</v>
      </c>
      <c r="M57" s="22">
        <v>93254</v>
      </c>
      <c r="N57" s="51">
        <v>112980</v>
      </c>
      <c r="O57" s="23"/>
      <c r="P57" s="23"/>
      <c r="R57" s="47">
        <f t="shared" si="6"/>
        <v>57583</v>
      </c>
      <c r="S57" s="47">
        <f t="shared" ref="S57:AB57" si="9">R57*(S$114*(1+S$138)+(1-S$114)*(1+S$142))*(1+S$128)</f>
        <v>59774.963400346329</v>
      </c>
      <c r="T57" s="47">
        <f t="shared" si="9"/>
        <v>60740.162934850261</v>
      </c>
      <c r="U57" s="47">
        <f t="shared" si="9"/>
        <v>60543.769762580763</v>
      </c>
      <c r="V57" s="47">
        <f t="shared" si="9"/>
        <v>61871.498890730232</v>
      </c>
      <c r="W57" s="47">
        <f t="shared" si="9"/>
        <v>63294.827231193849</v>
      </c>
      <c r="X57" s="47">
        <f t="shared" si="9"/>
        <v>64120.002588316282</v>
      </c>
      <c r="Y57" s="48">
        <f t="shared" si="9"/>
        <v>66054.858232379687</v>
      </c>
      <c r="Z57" s="48">
        <f t="shared" si="9"/>
        <v>68771.615046774605</v>
      </c>
      <c r="AA57" s="49">
        <f t="shared" si="9"/>
        <v>71590.315209029592</v>
      </c>
      <c r="AB57" s="49">
        <f t="shared" si="9"/>
        <v>74393.179846176514</v>
      </c>
      <c r="AC57" s="49"/>
      <c r="AD57" s="47"/>
    </row>
    <row r="58" spans="1:32">
      <c r="A58" s="52"/>
      <c r="B58" s="9" t="s">
        <v>63</v>
      </c>
      <c r="C58" s="50">
        <v>115471</v>
      </c>
      <c r="D58" s="23">
        <v>143826</v>
      </c>
      <c r="E58" s="23">
        <v>150035</v>
      </c>
      <c r="F58" s="23">
        <v>92979</v>
      </c>
      <c r="G58" s="23">
        <v>114224</v>
      </c>
      <c r="H58" s="23">
        <v>22927</v>
      </c>
      <c r="I58" s="23">
        <v>21171</v>
      </c>
      <c r="J58" s="23">
        <v>24518</v>
      </c>
      <c r="K58" s="23">
        <v>25880</v>
      </c>
      <c r="L58" s="26">
        <v>24892</v>
      </c>
      <c r="M58" s="22">
        <v>23488</v>
      </c>
      <c r="N58" s="51">
        <v>23488</v>
      </c>
      <c r="O58" s="23"/>
      <c r="P58" s="23"/>
      <c r="R58" s="47">
        <f t="shared" si="6"/>
        <v>143826</v>
      </c>
      <c r="S58" s="47">
        <f>R58*(S$114*(1+S$138)+(1-S$114)*(1+S$142))*(1+S$126)</f>
        <v>151887.21076495448</v>
      </c>
      <c r="T58" s="47">
        <f>S58*(T$114*(1+T$138)+(1-T$114)*(1+T$142))*(1+T$126)</f>
        <v>156895.52298394847</v>
      </c>
      <c r="U58" s="47">
        <f>T58*(U$114*(1+U$138)+(1-U$114)*(1+U$142))*(1+U$126)</f>
        <v>158797.49532890593</v>
      </c>
      <c r="V58" s="47">
        <f>U58*(V$114*(1+V$138)+(1-V$114)*(1+V$142))*(1+V$126)-71251-8854-4509-12976</f>
        <v>66724.018778704194</v>
      </c>
      <c r="W58" s="47">
        <f>V58*(W$114*(1+W$138)+(1-W$114)*(1+W$142))*(1+W$126)</f>
        <v>69323.016906047735</v>
      </c>
      <c r="X58" s="47">
        <f>W58*(X$114*(1+X$138)+(1-X$114)*(1+X$142))*(1+X$126)+240</f>
        <v>71686.736902210469</v>
      </c>
      <c r="Y58" s="48">
        <f>X58*(Y$114*(1+Y$138)+(1-Y$114)*(1+Y$142))*(1+Y$126)</f>
        <v>75244.690775482493</v>
      </c>
      <c r="Z58" s="48">
        <f>Y58*(Z$114*(1+Z$138)+(1-Z$114)*(1+Z$142))*(1+Z$126)</f>
        <v>79866.436993449082</v>
      </c>
      <c r="AA58" s="49">
        <f>Z58*(AA$114*(1+AA$138)+(1-AA$114)*(1+AA$142))*(1+AA$126)</f>
        <v>84577.480591634827</v>
      </c>
      <c r="AB58" s="49">
        <f>AA58*(AB$114*(1+AB$138)+(1-AB$114)*(1+AB$142))*(1+AB$126)</f>
        <v>89579.343818059715</v>
      </c>
      <c r="AC58" s="49"/>
      <c r="AD58" s="47"/>
    </row>
    <row r="59" spans="1:32">
      <c r="A59" s="52"/>
      <c r="B59" s="9" t="s">
        <v>64</v>
      </c>
      <c r="C59" s="50">
        <v>888648</v>
      </c>
      <c r="D59" s="23">
        <v>929829</v>
      </c>
      <c r="E59" s="23">
        <v>970784</v>
      </c>
      <c r="F59" s="23">
        <v>1028966</v>
      </c>
      <c r="G59" s="23">
        <v>1027890</v>
      </c>
      <c r="H59" s="23">
        <v>1086767</v>
      </c>
      <c r="I59" s="23">
        <v>1126061</v>
      </c>
      <c r="J59" s="23">
        <v>1167483</v>
      </c>
      <c r="K59" s="23">
        <v>1187988</v>
      </c>
      <c r="L59" s="26">
        <v>1255530</v>
      </c>
      <c r="M59" s="22">
        <v>1351707</v>
      </c>
      <c r="N59" s="51">
        <v>1344646</v>
      </c>
      <c r="O59" s="23"/>
      <c r="P59" s="23"/>
      <c r="R59" s="57">
        <f t="shared" si="6"/>
        <v>929829</v>
      </c>
      <c r="S59" s="47">
        <f t="shared" ref="S59:Y59" si="10">R59*(S$114*(1+S$139)+(1-S$114)*(1+S$141))*(1+S$126)</f>
        <v>968079.59286357241</v>
      </c>
      <c r="T59" s="47">
        <f t="shared" si="10"/>
        <v>1004042.0859442066</v>
      </c>
      <c r="U59" s="47">
        <f t="shared" si="10"/>
        <v>1040941.4970135452</v>
      </c>
      <c r="V59" s="47">
        <f t="shared" si="10"/>
        <v>1072943.4359162827</v>
      </c>
      <c r="W59" s="47">
        <f t="shared" si="10"/>
        <v>1121516.298526119</v>
      </c>
      <c r="X59" s="47">
        <f t="shared" si="10"/>
        <v>1174132.335513578</v>
      </c>
      <c r="Y59" s="48">
        <f t="shared" si="10"/>
        <v>1238742.9570991357</v>
      </c>
      <c r="Z59" s="48">
        <f>Y59*(Z$114*(1+Z$138)+(1-Z$114)*(1+Z$141))*(1+Z$126)</f>
        <v>1318921.2928630253</v>
      </c>
      <c r="AA59" s="49">
        <f>Z59*(AA$114*(1+AA$138)+(1-AA$114)*(1+AA$141))*(1+AA$126)</f>
        <v>1396719.8769386222</v>
      </c>
      <c r="AB59" s="49">
        <f>AA59*(AB$114*(1+AB$138)+(1-AB$114)*(1+AB$141))*(1+AB$126)</f>
        <v>1479321.081670736</v>
      </c>
      <c r="AC59" s="49"/>
      <c r="AD59" s="47"/>
    </row>
    <row r="60" spans="1:32">
      <c r="A60" s="52"/>
      <c r="B60" s="9" t="s">
        <v>65</v>
      </c>
      <c r="C60" s="50">
        <v>176373</v>
      </c>
      <c r="D60" s="23">
        <v>208066</v>
      </c>
      <c r="E60" s="23">
        <v>251023</v>
      </c>
      <c r="F60" s="23">
        <v>265056</v>
      </c>
      <c r="G60" s="23">
        <v>277877</v>
      </c>
      <c r="H60" s="23">
        <v>301566</v>
      </c>
      <c r="I60" s="23">
        <v>289972</v>
      </c>
      <c r="J60" s="23">
        <v>323180</v>
      </c>
      <c r="K60" s="23">
        <v>350577</v>
      </c>
      <c r="L60" s="26">
        <v>354104</v>
      </c>
      <c r="M60" s="22">
        <v>362357</v>
      </c>
      <c r="N60" s="51">
        <v>396085</v>
      </c>
      <c r="O60" s="23"/>
      <c r="P60" s="23"/>
      <c r="R60" s="47">
        <f t="shared" si="6"/>
        <v>208066</v>
      </c>
      <c r="S60" s="47">
        <f t="shared" ref="S60:AB60" si="11">R60*(S$114*(1+S$136)+(1-S$114)*(1+S$140))*(1+S$126)</f>
        <v>216587.3115118189</v>
      </c>
      <c r="T60" s="47">
        <f t="shared" si="11"/>
        <v>224440.72156993931</v>
      </c>
      <c r="U60" s="47">
        <f t="shared" si="11"/>
        <v>230378.60897599428</v>
      </c>
      <c r="V60" s="47">
        <f t="shared" si="11"/>
        <v>238633.20146194918</v>
      </c>
      <c r="W60" s="47">
        <f t="shared" si="11"/>
        <v>246470.14617240991</v>
      </c>
      <c r="X60" s="47">
        <f t="shared" si="11"/>
        <v>256968.46898737672</v>
      </c>
      <c r="Y60" s="48">
        <f t="shared" si="11"/>
        <v>268307.92961940862</v>
      </c>
      <c r="Z60" s="48">
        <f t="shared" si="11"/>
        <v>281256.01664237253</v>
      </c>
      <c r="AA60" s="49">
        <f t="shared" si="11"/>
        <v>298366.16546446807</v>
      </c>
      <c r="AB60" s="49">
        <f t="shared" si="11"/>
        <v>313941.99995631049</v>
      </c>
      <c r="AC60" s="49"/>
      <c r="AD60" s="47"/>
    </row>
    <row r="61" spans="1:32">
      <c r="A61" s="52"/>
      <c r="B61" s="9" t="s">
        <v>66</v>
      </c>
      <c r="C61" s="50">
        <v>68539</v>
      </c>
      <c r="D61" s="23">
        <v>81300</v>
      </c>
      <c r="E61" s="23">
        <v>85179</v>
      </c>
      <c r="F61" s="23">
        <v>87481</v>
      </c>
      <c r="G61" s="23">
        <v>90274</v>
      </c>
      <c r="H61" s="23">
        <v>95490</v>
      </c>
      <c r="I61" s="23">
        <v>97105</v>
      </c>
      <c r="J61" s="23">
        <v>95540</v>
      </c>
      <c r="K61" s="23">
        <v>101033</v>
      </c>
      <c r="L61" s="26">
        <v>108162</v>
      </c>
      <c r="M61" s="22">
        <v>120313</v>
      </c>
      <c r="N61" s="51">
        <v>150319</v>
      </c>
      <c r="O61" s="23"/>
      <c r="P61" s="23"/>
      <c r="R61" s="47">
        <f t="shared" si="6"/>
        <v>81300</v>
      </c>
      <c r="S61" s="47">
        <f t="shared" ref="S61:AB61" si="12">R61*(S$114*(1+S$138)+(1-S$114)*(1+S$140))*(1+S$126)</f>
        <v>85856.731294694968</v>
      </c>
      <c r="T61" s="47">
        <f t="shared" si="12"/>
        <v>88687.761730111437</v>
      </c>
      <c r="U61" s="47">
        <f t="shared" si="12"/>
        <v>89762.882721066067</v>
      </c>
      <c r="V61" s="47">
        <f t="shared" si="12"/>
        <v>92881.18787082062</v>
      </c>
      <c r="W61" s="47">
        <f t="shared" si="12"/>
        <v>96499.045993880063</v>
      </c>
      <c r="X61" s="47">
        <f t="shared" si="12"/>
        <v>99455.307315651109</v>
      </c>
      <c r="Y61" s="48">
        <f t="shared" si="12"/>
        <v>104391.47000309336</v>
      </c>
      <c r="Z61" s="48">
        <f t="shared" si="12"/>
        <v>110803.4955786171</v>
      </c>
      <c r="AA61" s="49">
        <f t="shared" si="12"/>
        <v>117339.40876258777</v>
      </c>
      <c r="AB61" s="49">
        <f t="shared" si="12"/>
        <v>124278.79344979346</v>
      </c>
      <c r="AC61" s="49"/>
      <c r="AD61" s="58"/>
    </row>
    <row r="62" spans="1:32">
      <c r="A62" s="52"/>
      <c r="B62" s="9" t="s">
        <v>67</v>
      </c>
      <c r="C62" s="50"/>
      <c r="D62" s="23"/>
      <c r="E62" s="23"/>
      <c r="F62" s="23"/>
      <c r="G62" s="23">
        <v>0</v>
      </c>
      <c r="H62" s="23">
        <v>8962</v>
      </c>
      <c r="I62" s="23">
        <v>13851</v>
      </c>
      <c r="J62" s="23">
        <v>10534</v>
      </c>
      <c r="K62" s="23">
        <v>4369</v>
      </c>
      <c r="L62" s="26">
        <v>4701</v>
      </c>
      <c r="M62" s="22">
        <v>5242</v>
      </c>
      <c r="N62" s="51">
        <v>8382</v>
      </c>
      <c r="O62" s="23"/>
      <c r="P62" s="23"/>
      <c r="R62" s="47">
        <f t="shared" si="6"/>
        <v>0</v>
      </c>
      <c r="S62" s="47">
        <f>E62</f>
        <v>0</v>
      </c>
      <c r="T62" s="47">
        <f>F62</f>
        <v>0</v>
      </c>
      <c r="U62" s="47">
        <f>G62</f>
        <v>0</v>
      </c>
      <c r="V62" s="47">
        <f>H62</f>
        <v>8962</v>
      </c>
      <c r="W62" s="47">
        <f t="shared" ref="W62:AB62" si="13">V62*(W$114*(1+W$138)+(1-W$114)*(1+W$142))*(1+W$129)</f>
        <v>9356.9995128050414</v>
      </c>
      <c r="X62" s="47">
        <f t="shared" si="13"/>
        <v>9671.0496128884843</v>
      </c>
      <c r="Y62" s="48">
        <f t="shared" si="13"/>
        <v>10155.485569355897</v>
      </c>
      <c r="Z62" s="48">
        <f t="shared" si="13"/>
        <v>10776.740609962528</v>
      </c>
      <c r="AA62" s="49">
        <f t="shared" si="13"/>
        <v>11433.724267648553</v>
      </c>
      <c r="AB62" s="49">
        <f t="shared" si="13"/>
        <v>12141.043137608915</v>
      </c>
      <c r="AC62" s="49"/>
      <c r="AD62" s="47"/>
    </row>
    <row r="63" spans="1:32">
      <c r="A63" s="52"/>
      <c r="B63" s="59" t="s">
        <v>68</v>
      </c>
      <c r="C63" s="50">
        <v>6858</v>
      </c>
      <c r="D63" s="23">
        <v>7371</v>
      </c>
      <c r="E63" s="23">
        <v>8211</v>
      </c>
      <c r="F63" s="23">
        <v>4045</v>
      </c>
      <c r="G63" s="23">
        <v>5285</v>
      </c>
      <c r="H63" s="23">
        <v>4697</v>
      </c>
      <c r="I63" s="23">
        <v>4195</v>
      </c>
      <c r="J63" s="23">
        <v>4066</v>
      </c>
      <c r="K63" s="23">
        <v>3010</v>
      </c>
      <c r="L63" s="26">
        <v>2149</v>
      </c>
      <c r="M63" s="22">
        <v>6828</v>
      </c>
      <c r="N63" s="51">
        <v>6828</v>
      </c>
      <c r="O63" s="23"/>
      <c r="P63" s="23"/>
      <c r="R63" s="47">
        <f t="shared" si="6"/>
        <v>7371</v>
      </c>
      <c r="S63" s="47">
        <f>R63*(S$114*(1+S$138)+(1-S$114)*(1+S$142))*(1+S$126)</f>
        <v>7784.132427714595</v>
      </c>
      <c r="T63" s="47">
        <f>S63*(T$114*(1+T$138)+(1-T$114)*(1+T$142))*(1+T$126)</f>
        <v>8040.8055561211731</v>
      </c>
      <c r="U63" s="47">
        <f>T63*(U$114*(1+U$138)+(1-U$114)*(1+U$142))*(1+U$126)</f>
        <v>8138.2805478103073</v>
      </c>
      <c r="V63" s="47">
        <f>U63*(V$114*(1+V$138)+(1-V$114)*(1+V$142))*(1+V$126)</f>
        <v>8420.9992102806737</v>
      </c>
      <c r="W63" s="47">
        <f>V63*(W$114*(1+W$138)+(1-W$114)*(1+W$142))*(1+W$126)</f>
        <v>8749.0094467514136</v>
      </c>
      <c r="X63" s="47">
        <f>W63*(X$114*(1+X$138)+(1-X$114)*(1+X$142))*(1+X$126)+20</f>
        <v>9037.0365341164124</v>
      </c>
      <c r="Y63" s="48">
        <f>X63*(Y$114*(1+Y$138)+(1-Y$114)*(1+Y$142))*(1+Y$126)</f>
        <v>9485.5624474010619</v>
      </c>
      <c r="Z63" s="48">
        <f>Y63*(Z$114*(1+Z$138)+(1-Z$114)*(1+Z$142))*(1+Z$126)</f>
        <v>10068.193087712583</v>
      </c>
      <c r="AA63" s="49">
        <f>Z63*(AA$114*(1+AA$138)+(1-AA$114)*(1+AA$142))*(1+AA$126)</f>
        <v>10662.080812978915</v>
      </c>
      <c r="AB63" s="49">
        <f>AA63*(AB$114*(1+AB$138)+(1-AB$114)*(1+AB$142))*(1+AB$126)</f>
        <v>11292.630098232563</v>
      </c>
      <c r="AC63" s="49"/>
      <c r="AD63" s="47"/>
    </row>
    <row r="64" spans="1:32">
      <c r="A64" s="52"/>
      <c r="B64" s="9" t="s">
        <v>69</v>
      </c>
      <c r="C64" s="50">
        <v>130512</v>
      </c>
      <c r="D64" s="23">
        <v>132167</v>
      </c>
      <c r="E64" s="23">
        <v>137415</v>
      </c>
      <c r="F64" s="23">
        <v>136408</v>
      </c>
      <c r="G64" s="23">
        <v>143998</v>
      </c>
      <c r="H64" s="23">
        <v>141096</v>
      </c>
      <c r="I64" s="23">
        <v>143848</v>
      </c>
      <c r="J64" s="23">
        <v>144589</v>
      </c>
      <c r="K64" s="23">
        <v>154047</v>
      </c>
      <c r="L64" s="26">
        <v>166508</v>
      </c>
      <c r="M64" s="22">
        <v>181067</v>
      </c>
      <c r="N64" s="51">
        <v>188492</v>
      </c>
      <c r="O64" s="23"/>
      <c r="P64" s="23"/>
      <c r="R64" s="47">
        <f t="shared" si="6"/>
        <v>132167</v>
      </c>
      <c r="S64" s="47">
        <f t="shared" ref="S64:AB64" si="14">R64*(S$114*(1+S$138)+(1-S$114)*(1+S$140))*(1+S$127)</f>
        <v>134021.48751868401</v>
      </c>
      <c r="T64" s="47">
        <f t="shared" si="14"/>
        <v>132919.49474200964</v>
      </c>
      <c r="U64" s="47">
        <f t="shared" si="14"/>
        <v>130093.35161959313</v>
      </c>
      <c r="V64" s="47">
        <f t="shared" si="14"/>
        <v>129753.95433832332</v>
      </c>
      <c r="W64" s="47">
        <f t="shared" si="14"/>
        <v>134239.12179313175</v>
      </c>
      <c r="X64" s="47">
        <f t="shared" si="14"/>
        <v>133580.57525797852</v>
      </c>
      <c r="Y64" s="48">
        <f t="shared" si="14"/>
        <v>134962.810695227</v>
      </c>
      <c r="Z64" s="48">
        <f t="shared" si="14"/>
        <v>144689.70012547038</v>
      </c>
      <c r="AA64" s="49">
        <f t="shared" si="14"/>
        <v>151008.275773656</v>
      </c>
      <c r="AB64" s="49">
        <f t="shared" si="14"/>
        <v>157827.71652644206</v>
      </c>
      <c r="AC64" s="49"/>
      <c r="AD64" s="47"/>
    </row>
    <row r="65" spans="1:42">
      <c r="A65" s="52"/>
      <c r="B65" s="9" t="s">
        <v>70</v>
      </c>
      <c r="C65" s="50">
        <v>49044</v>
      </c>
      <c r="D65" s="23">
        <v>54775</v>
      </c>
      <c r="E65" s="23">
        <v>56839</v>
      </c>
      <c r="F65" s="23">
        <v>40924</v>
      </c>
      <c r="G65" s="23">
        <v>29262</v>
      </c>
      <c r="H65" s="23">
        <v>47590</v>
      </c>
      <c r="I65" s="23">
        <v>45626</v>
      </c>
      <c r="J65" s="23">
        <v>53114</v>
      </c>
      <c r="K65" s="23">
        <v>64848</v>
      </c>
      <c r="L65" s="26">
        <v>65090</v>
      </c>
      <c r="M65" s="22">
        <v>77694</v>
      </c>
      <c r="N65" s="51">
        <v>141296</v>
      </c>
      <c r="O65" s="23"/>
      <c r="P65" s="23"/>
      <c r="R65" s="47">
        <f t="shared" si="6"/>
        <v>54775</v>
      </c>
      <c r="S65" s="47">
        <f>R65*(S$114*(1+S$136)+(1-S$114)*(1+S$140))*(1+S$130)</f>
        <v>61364.14307061502</v>
      </c>
      <c r="T65" s="47">
        <f>S65*(T$114*(1+T$136)+(1-T$114)*(1+T$140))*(1+T$130)</f>
        <v>65849.757214781726</v>
      </c>
      <c r="U65" s="47">
        <f>T65*(U$114*(1+U$136)+(1-U$114)*(1+U$140))*(1+U$130)</f>
        <v>72378.734275431343</v>
      </c>
      <c r="V65" s="47">
        <f>U65*(V$114*(1+V$136)+(1-V$114)*(1+V$140))*(1+V$130)+4509</f>
        <v>80576.262536915863</v>
      </c>
      <c r="W65" s="47">
        <f t="shared" ref="W65:AB65" si="15">V65*(W$114*(1+W$136)+(1-W$114)*(1+W$140))*(1+W$130)</f>
        <v>81640.350248070899</v>
      </c>
      <c r="X65" s="47">
        <f t="shared" si="15"/>
        <v>87864.418158934321</v>
      </c>
      <c r="Y65" s="48">
        <f t="shared" si="15"/>
        <v>93771.828000103604</v>
      </c>
      <c r="Z65" s="48">
        <f t="shared" si="15"/>
        <v>100538.93173052817</v>
      </c>
      <c r="AA65" s="49">
        <f t="shared" si="15"/>
        <v>109296.88736456128</v>
      </c>
      <c r="AB65" s="49">
        <f t="shared" si="15"/>
        <v>118005.70778598063</v>
      </c>
      <c r="AC65" s="49"/>
      <c r="AD65" s="47"/>
    </row>
    <row r="66" spans="1:42">
      <c r="A66" s="52"/>
      <c r="B66" s="9" t="s">
        <v>71</v>
      </c>
      <c r="C66" s="50"/>
      <c r="D66" s="23"/>
      <c r="E66" s="23"/>
      <c r="F66" s="23"/>
      <c r="G66" s="23">
        <v>0</v>
      </c>
      <c r="H66" s="23">
        <v>85233</v>
      </c>
      <c r="I66" s="23">
        <v>84748</v>
      </c>
      <c r="J66" s="23">
        <v>105563</v>
      </c>
      <c r="K66" s="23">
        <v>82027</v>
      </c>
      <c r="L66" s="26">
        <v>79176</v>
      </c>
      <c r="M66" s="22">
        <v>70751</v>
      </c>
      <c r="N66" s="51">
        <v>67005</v>
      </c>
      <c r="O66" s="23"/>
      <c r="P66" s="23"/>
      <c r="R66" s="47">
        <f t="shared" si="6"/>
        <v>0</v>
      </c>
      <c r="S66" s="47">
        <f>E66</f>
        <v>0</v>
      </c>
      <c r="T66" s="47">
        <f>F66</f>
        <v>0</v>
      </c>
      <c r="U66" s="47">
        <f>G66</f>
        <v>0</v>
      </c>
      <c r="V66" s="47">
        <f>H66</f>
        <v>85233</v>
      </c>
      <c r="W66" s="47">
        <f t="shared" ref="W66:AB66" si="16">V66*(W$114*(1+W$136)+(1-W$114)*(1+W$140))*(1+W$126)</f>
        <v>88032.134003208717</v>
      </c>
      <c r="X66" s="47">
        <f t="shared" si="16"/>
        <v>91781.836655673644</v>
      </c>
      <c r="Y66" s="48">
        <f t="shared" si="16"/>
        <v>95831.969839693644</v>
      </c>
      <c r="Z66" s="48">
        <f t="shared" si="16"/>
        <v>100456.65866952631</v>
      </c>
      <c r="AA66" s="49">
        <f t="shared" si="16"/>
        <v>106567.91772995597</v>
      </c>
      <c r="AB66" s="49">
        <f t="shared" si="16"/>
        <v>112131.163301444</v>
      </c>
      <c r="AC66" s="49"/>
      <c r="AD66" s="47"/>
    </row>
    <row r="67" spans="1:42">
      <c r="A67" s="52"/>
      <c r="B67" s="9" t="s">
        <v>72</v>
      </c>
      <c r="C67" s="50"/>
      <c r="D67" s="23">
        <v>168133</v>
      </c>
      <c r="E67" s="23">
        <v>174789</v>
      </c>
      <c r="F67" s="23">
        <v>171536</v>
      </c>
      <c r="G67" s="23">
        <v>172752</v>
      </c>
      <c r="H67" s="23">
        <v>161290</v>
      </c>
      <c r="I67" s="23">
        <v>154935</v>
      </c>
      <c r="J67" s="23">
        <v>179615</v>
      </c>
      <c r="K67" s="23">
        <v>185360</v>
      </c>
      <c r="L67" s="26">
        <v>192531</v>
      </c>
      <c r="M67" s="22">
        <v>264639</v>
      </c>
      <c r="N67" s="51">
        <v>330533</v>
      </c>
      <c r="O67" s="23"/>
      <c r="P67" s="23"/>
      <c r="R67" s="47">
        <f t="shared" si="6"/>
        <v>168133</v>
      </c>
      <c r="S67" s="47">
        <f t="shared" ref="S67:AB69" si="17">R67*(S$114*(1+S$138)+(1-S$114)*(1+S$142))*(1+S$126)</f>
        <v>177556.57813986408</v>
      </c>
      <c r="T67" s="47">
        <f t="shared" si="17"/>
        <v>183411.30926160919</v>
      </c>
      <c r="U67" s="47">
        <f t="shared" si="17"/>
        <v>185634.72030185733</v>
      </c>
      <c r="V67" s="47">
        <f t="shared" si="17"/>
        <v>192083.55178701947</v>
      </c>
      <c r="W67" s="47">
        <f t="shared" si="17"/>
        <v>199565.48708596602</v>
      </c>
      <c r="X67" s="47">
        <f t="shared" si="17"/>
        <v>205679.20276632681</v>
      </c>
      <c r="Y67" s="48">
        <f t="shared" si="17"/>
        <v>215887.46649483516</v>
      </c>
      <c r="Z67" s="48">
        <f t="shared" si="17"/>
        <v>229147.89818105329</v>
      </c>
      <c r="AA67" s="49">
        <f t="shared" si="17"/>
        <v>242664.53645117066</v>
      </c>
      <c r="AB67" s="49">
        <f t="shared" si="17"/>
        <v>257015.57661862395</v>
      </c>
      <c r="AC67" s="49"/>
      <c r="AD67" s="47"/>
    </row>
    <row r="68" spans="1:42">
      <c r="A68" s="52"/>
      <c r="B68" s="9" t="s">
        <v>73</v>
      </c>
      <c r="C68" s="50">
        <v>16627</v>
      </c>
      <c r="D68" s="23">
        <v>17492</v>
      </c>
      <c r="E68" s="23">
        <v>16407</v>
      </c>
      <c r="F68" s="23">
        <v>17942</v>
      </c>
      <c r="G68" s="23">
        <v>17144</v>
      </c>
      <c r="H68" s="23">
        <v>17670</v>
      </c>
      <c r="I68" s="23">
        <v>15735</v>
      </c>
      <c r="J68" s="23">
        <v>18205</v>
      </c>
      <c r="K68" s="23">
        <v>14900</v>
      </c>
      <c r="L68" s="26">
        <v>15997</v>
      </c>
      <c r="M68" s="22">
        <v>15265</v>
      </c>
      <c r="N68" s="51">
        <v>18698</v>
      </c>
      <c r="O68" s="23"/>
      <c r="P68" s="23"/>
      <c r="R68" s="47">
        <f t="shared" si="6"/>
        <v>17492</v>
      </c>
      <c r="S68" s="47">
        <f t="shared" si="17"/>
        <v>18472.39783280202</v>
      </c>
      <c r="T68" s="47">
        <f t="shared" si="17"/>
        <v>19081.50465169876</v>
      </c>
      <c r="U68" s="47">
        <f t="shared" si="17"/>
        <v>19312.82096625938</v>
      </c>
      <c r="V68" s="47">
        <f t="shared" si="17"/>
        <v>19983.736017667827</v>
      </c>
      <c r="W68" s="47">
        <f t="shared" si="17"/>
        <v>20762.131765374539</v>
      </c>
      <c r="X68" s="47">
        <f t="shared" si="17"/>
        <v>21398.182479278836</v>
      </c>
      <c r="Y68" s="48">
        <f t="shared" si="17"/>
        <v>22460.21639968154</v>
      </c>
      <c r="Z68" s="48">
        <f t="shared" si="17"/>
        <v>23839.787757209971</v>
      </c>
      <c r="AA68" s="49">
        <f t="shared" si="17"/>
        <v>25246.013998464769</v>
      </c>
      <c r="AB68" s="49">
        <f t="shared" si="17"/>
        <v>26739.048647279058</v>
      </c>
      <c r="AC68" s="49"/>
      <c r="AD68" s="47"/>
    </row>
    <row r="69" spans="1:42">
      <c r="A69" s="52"/>
      <c r="B69" s="9" t="s">
        <v>74</v>
      </c>
      <c r="C69" s="50">
        <v>426904</v>
      </c>
      <c r="D69" s="23">
        <v>477081</v>
      </c>
      <c r="E69" s="23">
        <v>426738</v>
      </c>
      <c r="F69" s="23">
        <v>436751</v>
      </c>
      <c r="G69" s="23">
        <v>374063</v>
      </c>
      <c r="H69" s="23">
        <v>396050</v>
      </c>
      <c r="I69" s="23">
        <v>396571</v>
      </c>
      <c r="J69" s="23">
        <v>372112</v>
      </c>
      <c r="K69" s="23">
        <v>386087</v>
      </c>
      <c r="L69" s="26">
        <v>364314</v>
      </c>
      <c r="M69" s="22">
        <v>392608</v>
      </c>
      <c r="N69" s="51">
        <v>440302</v>
      </c>
      <c r="O69" s="23"/>
      <c r="P69" s="23"/>
      <c r="R69" s="47">
        <f t="shared" si="6"/>
        <v>477081</v>
      </c>
      <c r="S69" s="47">
        <f>R69*(S$114*(1+S$138)+(1-S$114)*(1+S$142))*(1+S$126)</f>
        <v>503820.6054465482</v>
      </c>
      <c r="T69" s="47">
        <f>S69*(T$114*(1+T$138)+(1-T$114)*(1+T$142))*(1+T$126)</f>
        <v>520433.53079905652</v>
      </c>
      <c r="U69" s="47">
        <f>T69*(U$114*(1+U$138)+(1-U$114)*(1+U$142))*(1+U$126)</f>
        <v>526742.50739789568</v>
      </c>
      <c r="V69" s="47">
        <f>U69*(V$114*(1+V$138)+(1-V$114)*(1+V$142))*(1+V$126)+8854</f>
        <v>553895.20529642038</v>
      </c>
      <c r="W69" s="47">
        <f t="shared" si="17"/>
        <v>575470.23371436424</v>
      </c>
      <c r="X69" s="47">
        <f t="shared" si="17"/>
        <v>593099.84213420516</v>
      </c>
      <c r="Y69" s="48">
        <f t="shared" si="17"/>
        <v>622536.55486165185</v>
      </c>
      <c r="Z69" s="48">
        <f t="shared" si="17"/>
        <v>660774.54797883914</v>
      </c>
      <c r="AA69" s="49">
        <f t="shared" si="17"/>
        <v>699751.34250336664</v>
      </c>
      <c r="AB69" s="49">
        <f t="shared" si="17"/>
        <v>741134.23169828567</v>
      </c>
      <c r="AC69" s="49"/>
      <c r="AD69" s="47"/>
      <c r="AE69" s="49"/>
      <c r="AF69" s="47"/>
    </row>
    <row r="70" spans="1:42">
      <c r="A70" s="60"/>
      <c r="B70" s="9" t="s">
        <v>75</v>
      </c>
      <c r="C70" s="50"/>
      <c r="D70" s="23"/>
      <c r="E70" s="23"/>
      <c r="F70" s="23"/>
      <c r="G70" s="23"/>
      <c r="H70" s="23"/>
      <c r="I70" s="23"/>
      <c r="J70" s="23"/>
      <c r="K70" s="23"/>
      <c r="L70" s="26">
        <v>299256</v>
      </c>
      <c r="M70" s="22">
        <v>377405</v>
      </c>
      <c r="N70" s="51">
        <v>413636</v>
      </c>
      <c r="O70" s="23"/>
      <c r="P70" s="23"/>
      <c r="R70" s="47"/>
      <c r="S70" s="47"/>
      <c r="T70" s="47"/>
      <c r="U70" s="47"/>
      <c r="V70" s="47"/>
      <c r="W70" s="47"/>
      <c r="X70" s="47"/>
      <c r="Y70" s="49">
        <f t="shared" ref="Y70:AB71" si="18">K70</f>
        <v>0</v>
      </c>
      <c r="Z70" s="49">
        <f t="shared" si="18"/>
        <v>299256</v>
      </c>
      <c r="AA70" s="49">
        <f t="shared" si="18"/>
        <v>377405</v>
      </c>
      <c r="AB70" s="49">
        <f t="shared" si="18"/>
        <v>413636</v>
      </c>
      <c r="AC70" s="49"/>
      <c r="AD70" s="47"/>
      <c r="AE70" s="49"/>
      <c r="AF70" s="47"/>
    </row>
    <row r="71" spans="1:42">
      <c r="A71" s="61"/>
      <c r="B71" s="9" t="s">
        <v>76</v>
      </c>
      <c r="C71" s="62"/>
      <c r="D71" s="63"/>
      <c r="E71" s="63"/>
      <c r="F71" s="63"/>
      <c r="G71" s="63"/>
      <c r="H71" s="63"/>
      <c r="I71" s="63"/>
      <c r="J71" s="63"/>
      <c r="K71" s="63"/>
      <c r="L71" s="30">
        <v>0</v>
      </c>
      <c r="M71" s="22">
        <v>35694</v>
      </c>
      <c r="N71" s="51">
        <v>0</v>
      </c>
      <c r="O71" s="23"/>
      <c r="P71" s="23"/>
      <c r="R71" s="47"/>
      <c r="S71" s="47"/>
      <c r="T71" s="47"/>
      <c r="U71" s="47"/>
      <c r="V71" s="47"/>
      <c r="W71" s="47"/>
      <c r="X71" s="47"/>
      <c r="Y71" s="49">
        <f t="shared" si="18"/>
        <v>0</v>
      </c>
      <c r="Z71" s="48">
        <f t="shared" si="18"/>
        <v>0</v>
      </c>
      <c r="AA71" s="49">
        <f t="shared" si="18"/>
        <v>35694</v>
      </c>
      <c r="AB71" s="49">
        <f t="shared" si="18"/>
        <v>0</v>
      </c>
      <c r="AC71" s="49"/>
      <c r="AD71" s="47"/>
      <c r="AE71" s="49"/>
      <c r="AF71" s="47"/>
    </row>
    <row r="72" spans="1:42" s="38" customFormat="1" ht="15.75" thickBot="1">
      <c r="A72" s="32" t="s">
        <v>77</v>
      </c>
      <c r="B72" s="33"/>
      <c r="C72" s="34">
        <f t="shared" ref="C72:M72" si="19">SUM(C27:C71)</f>
        <v>11388210</v>
      </c>
      <c r="D72" s="34">
        <f t="shared" si="19"/>
        <v>12111650</v>
      </c>
      <c r="E72" s="34">
        <f t="shared" si="19"/>
        <v>12563672</v>
      </c>
      <c r="F72" s="34">
        <f t="shared" si="19"/>
        <v>13031131</v>
      </c>
      <c r="G72" s="34">
        <f t="shared" si="19"/>
        <v>13404230</v>
      </c>
      <c r="H72" s="34">
        <f t="shared" si="19"/>
        <v>13834018</v>
      </c>
      <c r="I72" s="34">
        <f t="shared" si="19"/>
        <v>14124926</v>
      </c>
      <c r="J72" s="34">
        <f t="shared" si="19"/>
        <v>14576961</v>
      </c>
      <c r="K72" s="34">
        <f t="shared" si="19"/>
        <v>15052331</v>
      </c>
      <c r="L72" s="34">
        <f t="shared" si="19"/>
        <v>15948150</v>
      </c>
      <c r="M72" s="36">
        <f t="shared" si="19"/>
        <v>16942285</v>
      </c>
      <c r="N72" s="35">
        <f>SUM(N27:N71)</f>
        <v>17889824</v>
      </c>
      <c r="O72" s="34"/>
      <c r="P72" s="34"/>
      <c r="R72" s="39">
        <f t="shared" ref="R72:Y79" si="20">D72</f>
        <v>12111650</v>
      </c>
      <c r="S72" s="39">
        <f t="shared" ref="S72:Y72" si="21">SUM(S27:S71)</f>
        <v>12667071.029504683</v>
      </c>
      <c r="T72" s="39">
        <f t="shared" si="21"/>
        <v>13102902.135540251</v>
      </c>
      <c r="U72" s="39">
        <f t="shared" si="21"/>
        <v>13401760.683864281</v>
      </c>
      <c r="V72" s="39">
        <f t="shared" si="21"/>
        <v>13886078.782231838</v>
      </c>
      <c r="W72" s="39">
        <f t="shared" si="21"/>
        <v>14387359.549978316</v>
      </c>
      <c r="X72" s="39">
        <f t="shared" si="21"/>
        <v>14945155.234130619</v>
      </c>
      <c r="Y72" s="40">
        <f t="shared" si="21"/>
        <v>15648532.225844165</v>
      </c>
      <c r="Z72" s="40">
        <f>SUM(Z27:Z69)</f>
        <v>16502678.373208823</v>
      </c>
      <c r="AA72" s="41">
        <f>SUM(AA27:AA69,AA71)</f>
        <v>17522247.748434167</v>
      </c>
      <c r="AB72" s="41">
        <f>SUM(AB27:AB69,AB71)-AB133</f>
        <v>18296321.192611936</v>
      </c>
      <c r="AC72" s="42"/>
    </row>
    <row r="73" spans="1:42">
      <c r="A73" s="10" t="s">
        <v>78</v>
      </c>
      <c r="B73" s="10" t="s">
        <v>79</v>
      </c>
      <c r="C73" s="64"/>
      <c r="D73" s="65"/>
      <c r="E73" s="65"/>
      <c r="F73" s="65">
        <v>256</v>
      </c>
      <c r="G73" s="65"/>
      <c r="H73" s="65"/>
      <c r="I73" s="65"/>
      <c r="J73" s="65"/>
      <c r="K73" s="65"/>
      <c r="L73" s="66"/>
      <c r="M73" s="67"/>
      <c r="N73" s="68"/>
      <c r="O73" s="23"/>
      <c r="P73" s="23"/>
      <c r="R73" s="47">
        <f t="shared" si="20"/>
        <v>0</v>
      </c>
      <c r="S73" s="47">
        <f t="shared" si="20"/>
        <v>0</v>
      </c>
      <c r="T73" s="47">
        <f t="shared" si="20"/>
        <v>256</v>
      </c>
      <c r="U73" s="47">
        <f t="shared" si="20"/>
        <v>0</v>
      </c>
      <c r="V73" s="47">
        <f t="shared" si="20"/>
        <v>0</v>
      </c>
      <c r="W73" s="47">
        <f t="shared" si="20"/>
        <v>0</v>
      </c>
      <c r="X73" s="47">
        <f t="shared" si="20"/>
        <v>0</v>
      </c>
      <c r="Y73" s="48">
        <f t="shared" si="20"/>
        <v>0</v>
      </c>
      <c r="Z73" s="48">
        <f t="shared" ref="Z73:AB74" si="22">Q73</f>
        <v>0</v>
      </c>
      <c r="AA73" s="49">
        <f t="shared" si="22"/>
        <v>0</v>
      </c>
      <c r="AB73" s="49">
        <f t="shared" si="22"/>
        <v>0</v>
      </c>
      <c r="AC73" s="49"/>
      <c r="AD73" s="47"/>
    </row>
    <row r="74" spans="1:42" ht="15.75" thickBot="1">
      <c r="A74" s="10" t="s">
        <v>80</v>
      </c>
      <c r="B74" s="11"/>
      <c r="C74" s="64"/>
      <c r="D74" s="65"/>
      <c r="E74" s="65"/>
      <c r="F74" s="65">
        <f>F73</f>
        <v>256</v>
      </c>
      <c r="G74" s="65"/>
      <c r="H74" s="65"/>
      <c r="I74" s="65"/>
      <c r="J74" s="65"/>
      <c r="K74" s="65"/>
      <c r="L74" s="69"/>
      <c r="M74" s="70"/>
      <c r="N74" s="70"/>
      <c r="O74" s="23"/>
      <c r="P74" s="23"/>
      <c r="R74" s="71">
        <f t="shared" si="20"/>
        <v>0</v>
      </c>
      <c r="S74" s="71">
        <f t="shared" si="20"/>
        <v>0</v>
      </c>
      <c r="T74" s="71">
        <f t="shared" si="20"/>
        <v>256</v>
      </c>
      <c r="U74" s="71">
        <f t="shared" si="20"/>
        <v>0</v>
      </c>
      <c r="V74" s="71">
        <f t="shared" si="20"/>
        <v>0</v>
      </c>
      <c r="W74" s="71">
        <f t="shared" si="20"/>
        <v>0</v>
      </c>
      <c r="X74" s="71">
        <f t="shared" si="20"/>
        <v>0</v>
      </c>
      <c r="Y74" s="72">
        <f t="shared" si="20"/>
        <v>0</v>
      </c>
      <c r="Z74" s="72">
        <f t="shared" si="22"/>
        <v>0</v>
      </c>
      <c r="AA74" s="73">
        <f t="shared" si="22"/>
        <v>0</v>
      </c>
      <c r="AB74" s="73">
        <f t="shared" si="22"/>
        <v>0</v>
      </c>
      <c r="AC74" s="74"/>
      <c r="AD74" s="47"/>
    </row>
    <row r="75" spans="1:42">
      <c r="A75" s="10" t="s">
        <v>81</v>
      </c>
      <c r="B75" s="10" t="s">
        <v>82</v>
      </c>
      <c r="C75" s="44">
        <v>1908</v>
      </c>
      <c r="D75" s="45">
        <v>2177</v>
      </c>
      <c r="E75" s="45">
        <v>2158</v>
      </c>
      <c r="F75" s="45">
        <v>1742</v>
      </c>
      <c r="G75" s="45">
        <v>1543</v>
      </c>
      <c r="H75" s="45">
        <v>1582</v>
      </c>
      <c r="I75" s="45">
        <v>1480</v>
      </c>
      <c r="J75" s="45">
        <v>1639</v>
      </c>
      <c r="K75" s="45">
        <v>1703</v>
      </c>
      <c r="L75" s="51">
        <f>IFERROR(VLOOKUP($B75,[2]PivotAppnTypeSpendbyYear!$B$8:$F$66,COLUMN([2]PivotAppnTypeSpendbyYear!D$5)-1,FALSE),"")</f>
        <v>1819</v>
      </c>
      <c r="M75" s="51">
        <f>IFERROR(VLOOKUP($B75,[2]PivotAppnTypeSpendbyYear!$B$8:$F$66,COLUMN([2]PivotAppnTypeSpendbyYear!E$5)-1,FALSE),"")</f>
        <v>2030</v>
      </c>
      <c r="N75" s="51">
        <f>IFERROR(VLOOKUP($B75,[2]PivotAppnTypeSpendbyYear!$B$8:$F$66,COLUMN([2]PivotAppnTypeSpendbyYear!F$5)-1,FALSE),"")</f>
        <v>2030</v>
      </c>
      <c r="O75" s="23"/>
      <c r="P75" s="23"/>
      <c r="R75" s="47">
        <f t="shared" si="20"/>
        <v>2177</v>
      </c>
      <c r="S75" s="47">
        <f t="shared" ref="S75:AB77" si="23">R75*(S$114*(1+S$138)+(1-S$114)*(1+S$142))</f>
        <v>2260.054468391992</v>
      </c>
      <c r="T75" s="47">
        <f t="shared" si="23"/>
        <v>2301.2437161056278</v>
      </c>
      <c r="U75" s="47">
        <f t="shared" si="23"/>
        <v>2296.620507229693</v>
      </c>
      <c r="V75" s="47">
        <f t="shared" si="23"/>
        <v>2340.2782408183753</v>
      </c>
      <c r="W75" s="47">
        <f t="shared" si="23"/>
        <v>2381.6693224504793</v>
      </c>
      <c r="X75" s="47">
        <f t="shared" si="23"/>
        <v>2395.4020742607872</v>
      </c>
      <c r="Y75" s="48">
        <f t="shared" si="23"/>
        <v>2447.5515379391245</v>
      </c>
      <c r="Z75" s="48">
        <f t="shared" si="23"/>
        <v>2530.6061853637743</v>
      </c>
      <c r="AA75" s="49">
        <f t="shared" si="23"/>
        <v>2615.4804409555732</v>
      </c>
      <c r="AB75" s="49">
        <f t="shared" si="23"/>
        <v>2707.1397924454409</v>
      </c>
      <c r="AC75" s="49"/>
      <c r="AD75" s="47"/>
    </row>
    <row r="76" spans="1:42">
      <c r="A76" s="24"/>
      <c r="B76" s="12" t="s">
        <v>83</v>
      </c>
      <c r="C76" s="50">
        <v>1587</v>
      </c>
      <c r="D76" s="23">
        <v>474</v>
      </c>
      <c r="E76" s="23">
        <v>858</v>
      </c>
      <c r="F76" s="23">
        <v>5186</v>
      </c>
      <c r="G76" s="23">
        <v>713</v>
      </c>
      <c r="H76" s="23">
        <v>836</v>
      </c>
      <c r="I76" s="23">
        <v>607</v>
      </c>
      <c r="J76" s="23">
        <v>959</v>
      </c>
      <c r="K76" s="23">
        <v>961</v>
      </c>
      <c r="L76" s="51">
        <f>IFERROR(VLOOKUP($B76,[2]PivotAppnTypeSpendbyYear!$B$8:$F$66,COLUMN([2]PivotAppnTypeSpendbyYear!D$5)-1,FALSE),"")</f>
        <v>1972</v>
      </c>
      <c r="M76" s="51">
        <f>IFERROR(VLOOKUP($B76,[2]PivotAppnTypeSpendbyYear!$B$8:$F$66,COLUMN([2]PivotAppnTypeSpendbyYear!E$5)-1,FALSE),"")</f>
        <v>3378</v>
      </c>
      <c r="N76" s="51">
        <f>IFERROR(VLOOKUP($B76,[2]PivotAppnTypeSpendbyYear!$B$8:$F$66,COLUMN([2]PivotAppnTypeSpendbyYear!F$5)-1,FALSE),"")</f>
        <v>1028</v>
      </c>
      <c r="O76" s="23"/>
      <c r="P76" s="23"/>
      <c r="R76" s="47">
        <f t="shared" si="20"/>
        <v>474</v>
      </c>
      <c r="S76" s="47">
        <f t="shared" si="23"/>
        <v>492.08351769306574</v>
      </c>
      <c r="T76" s="47">
        <f t="shared" si="23"/>
        <v>501.05168646489091</v>
      </c>
      <c r="U76" s="47">
        <f t="shared" si="23"/>
        <v>500.04507139498133</v>
      </c>
      <c r="V76" s="47">
        <f t="shared" si="23"/>
        <v>509.55070562604953</v>
      </c>
      <c r="W76" s="47">
        <f t="shared" si="23"/>
        <v>518.56281986289719</v>
      </c>
      <c r="X76" s="47">
        <f t="shared" si="23"/>
        <v>521.55286320606945</v>
      </c>
      <c r="Y76" s="48">
        <f t="shared" si="23"/>
        <v>532.90740881173406</v>
      </c>
      <c r="Z76" s="48">
        <f t="shared" si="23"/>
        <v>550.99096548572754</v>
      </c>
      <c r="AA76" s="49">
        <f t="shared" si="23"/>
        <v>569.47070694209526</v>
      </c>
      <c r="AB76" s="49">
        <f t="shared" si="23"/>
        <v>589.42777290727543</v>
      </c>
      <c r="AC76" s="49"/>
      <c r="AD76" s="47"/>
    </row>
    <row r="77" spans="1:42">
      <c r="A77" s="24"/>
      <c r="B77" s="12" t="s">
        <v>84</v>
      </c>
      <c r="C77" s="50">
        <v>18685</v>
      </c>
      <c r="D77" s="23">
        <v>19225</v>
      </c>
      <c r="E77" s="23">
        <v>24908</v>
      </c>
      <c r="F77" s="23">
        <v>24588</v>
      </c>
      <c r="G77" s="23">
        <v>23844</v>
      </c>
      <c r="H77" s="23">
        <v>25455</v>
      </c>
      <c r="I77" s="23">
        <v>24393</v>
      </c>
      <c r="J77" s="23">
        <v>22709</v>
      </c>
      <c r="K77" s="23">
        <v>23831</v>
      </c>
      <c r="L77" s="51">
        <f>IFERROR(VLOOKUP($B77,[2]PivotAppnTypeSpendbyYear!$B$8:$F$66,COLUMN([2]PivotAppnTypeSpendbyYear!D$5)-1,FALSE),"")</f>
        <v>18405</v>
      </c>
      <c r="M77" s="31">
        <f>IFERROR(VLOOKUP($B77,[2]PivotAppnTypeSpendbyYear!$B$8:$F$66,COLUMN([2]PivotAppnTypeSpendbyYear!E$5)-1,FALSE),"")</f>
        <v>21289</v>
      </c>
      <c r="N77" s="75">
        <f>IFERROR(VLOOKUP($B77,[2]PivotAppnTypeSpendbyYear!$B$8:$F$66,COLUMN([2]PivotAppnTypeSpendbyYear!F$5)-1,FALSE),"")</f>
        <v>43434</v>
      </c>
      <c r="O77" s="23"/>
      <c r="P77" s="23"/>
      <c r="R77" s="47">
        <f t="shared" si="20"/>
        <v>19225</v>
      </c>
      <c r="S77" s="47">
        <f t="shared" si="23"/>
        <v>19958.450691243015</v>
      </c>
      <c r="T77" s="47">
        <f t="shared" si="23"/>
        <v>20322.191291745839</v>
      </c>
      <c r="U77" s="47">
        <f t="shared" si="23"/>
        <v>20281.363918920921</v>
      </c>
      <c r="V77" s="47">
        <f t="shared" si="23"/>
        <v>20666.903619537559</v>
      </c>
      <c r="W77" s="47">
        <f t="shared" si="23"/>
        <v>21032.426607308436</v>
      </c>
      <c r="X77" s="47">
        <f t="shared" si="23"/>
        <v>21153.699989739842</v>
      </c>
      <c r="Y77" s="48">
        <f t="shared" si="23"/>
        <v>21614.229819421071</v>
      </c>
      <c r="Z77" s="48">
        <f t="shared" si="23"/>
        <v>22347.682091694332</v>
      </c>
      <c r="AA77" s="49">
        <f t="shared" si="23"/>
        <v>23097.203250974228</v>
      </c>
      <c r="AB77" s="49">
        <f t="shared" si="23"/>
        <v>23906.643320975472</v>
      </c>
      <c r="AC77" s="49"/>
      <c r="AD77" s="47"/>
    </row>
    <row r="78" spans="1:42" s="38" customFormat="1">
      <c r="A78" s="32" t="s">
        <v>85</v>
      </c>
      <c r="B78" s="33"/>
      <c r="C78" s="76">
        <f>SUM(C74:C77)</f>
        <v>22180</v>
      </c>
      <c r="D78" s="77">
        <f t="shared" ref="D78:N78" si="24">SUM(D74:D77)</f>
        <v>21876</v>
      </c>
      <c r="E78" s="77">
        <f t="shared" si="24"/>
        <v>27924</v>
      </c>
      <c r="F78" s="77">
        <f t="shared" si="24"/>
        <v>31772</v>
      </c>
      <c r="G78" s="77">
        <f t="shared" si="24"/>
        <v>26100</v>
      </c>
      <c r="H78" s="77">
        <f t="shared" si="24"/>
        <v>27873</v>
      </c>
      <c r="I78" s="77">
        <f t="shared" si="24"/>
        <v>26480</v>
      </c>
      <c r="J78" s="77">
        <f t="shared" si="24"/>
        <v>25307</v>
      </c>
      <c r="K78" s="77">
        <f t="shared" si="24"/>
        <v>26495</v>
      </c>
      <c r="L78" s="35">
        <f t="shared" si="24"/>
        <v>22196</v>
      </c>
      <c r="M78" s="37">
        <f t="shared" si="24"/>
        <v>26697</v>
      </c>
      <c r="N78" s="37">
        <f t="shared" si="24"/>
        <v>46492</v>
      </c>
      <c r="O78" s="34"/>
      <c r="P78" s="34"/>
      <c r="R78" s="78">
        <f t="shared" si="20"/>
        <v>21876</v>
      </c>
      <c r="S78" s="78">
        <f t="shared" ref="S78:Z78" si="25">SUM(S75:S77)</f>
        <v>22710.588677328073</v>
      </c>
      <c r="T78" s="78">
        <f t="shared" si="25"/>
        <v>23124.486694316358</v>
      </c>
      <c r="U78" s="78">
        <f t="shared" si="25"/>
        <v>23078.029497545594</v>
      </c>
      <c r="V78" s="78">
        <f t="shared" si="25"/>
        <v>23516.732565981983</v>
      </c>
      <c r="W78" s="78">
        <f t="shared" si="25"/>
        <v>23932.658749621813</v>
      </c>
      <c r="X78" s="78">
        <f t="shared" si="25"/>
        <v>24070.654927206699</v>
      </c>
      <c r="Y78" s="79">
        <f t="shared" si="25"/>
        <v>24594.68876617193</v>
      </c>
      <c r="Z78" s="79">
        <f t="shared" si="25"/>
        <v>25429.279242543835</v>
      </c>
      <c r="AA78" s="80">
        <f>SUM(AA75:AA77)</f>
        <v>26282.154398871895</v>
      </c>
      <c r="AB78" s="80">
        <f>SUM(AB75:AB77)</f>
        <v>27203.21088632819</v>
      </c>
      <c r="AC78" s="42"/>
      <c r="AD78" s="43"/>
      <c r="AG78" s="6"/>
      <c r="AH78" s="6"/>
      <c r="AI78" s="6"/>
      <c r="AJ78" s="6"/>
      <c r="AK78" s="6"/>
      <c r="AL78" s="6"/>
      <c r="AM78" s="6"/>
      <c r="AN78" s="6"/>
      <c r="AO78" s="6"/>
      <c r="AP78" s="6"/>
    </row>
    <row r="79" spans="1:42" s="38" customFormat="1">
      <c r="A79" s="81" t="s">
        <v>86</v>
      </c>
      <c r="B79" s="82"/>
      <c r="C79" s="83">
        <f t="shared" ref="C79:J79" si="26">C78+C72+C26</f>
        <v>11619833</v>
      </c>
      <c r="D79" s="84">
        <f t="shared" si="26"/>
        <v>12348564</v>
      </c>
      <c r="E79" s="84">
        <f t="shared" si="26"/>
        <v>12798950</v>
      </c>
      <c r="F79" s="84">
        <f t="shared" si="26"/>
        <v>13268789</v>
      </c>
      <c r="G79" s="84">
        <f t="shared" si="26"/>
        <v>13624050</v>
      </c>
      <c r="H79" s="84">
        <f t="shared" si="26"/>
        <v>14050406</v>
      </c>
      <c r="I79" s="84">
        <f t="shared" si="26"/>
        <v>14344592</v>
      </c>
      <c r="J79" s="84">
        <f t="shared" si="26"/>
        <v>14792568</v>
      </c>
      <c r="K79" s="84">
        <f>K78+K72+K26</f>
        <v>15275331</v>
      </c>
      <c r="L79" s="85">
        <f>L78+L72+L26</f>
        <v>16176262</v>
      </c>
      <c r="M79" s="35">
        <f>M78+M72+M26</f>
        <v>17181384</v>
      </c>
      <c r="N79" s="35">
        <f>N78+N72+N26</f>
        <v>18157282</v>
      </c>
      <c r="O79" s="34"/>
      <c r="P79" s="34"/>
      <c r="Q79" s="86" t="s">
        <v>87</v>
      </c>
      <c r="R79" s="78">
        <f t="shared" si="20"/>
        <v>12348564</v>
      </c>
      <c r="S79" s="78">
        <f t="shared" ref="S79:Z79" si="27">S26+S72+S74+S78</f>
        <v>12913023.507375432</v>
      </c>
      <c r="T79" s="78">
        <f t="shared" si="27"/>
        <v>13353593.070660805</v>
      </c>
      <c r="U79" s="78">
        <f t="shared" si="27"/>
        <v>13651692.494084682</v>
      </c>
      <c r="V79" s="78">
        <f t="shared" si="27"/>
        <v>14140761.684916837</v>
      </c>
      <c r="W79" s="78">
        <f t="shared" si="27"/>
        <v>14646546.874672405</v>
      </c>
      <c r="X79" s="78">
        <f t="shared" si="27"/>
        <v>15205837.03799898</v>
      </c>
      <c r="Y79" s="79">
        <f t="shared" si="27"/>
        <v>15914889.242407927</v>
      </c>
      <c r="Z79" s="79">
        <f t="shared" si="27"/>
        <v>16778073.887126725</v>
      </c>
      <c r="AA79" s="80">
        <f>AA26+AA72+AA74+AA78</f>
        <v>17806879.78021577</v>
      </c>
      <c r="AB79" s="80">
        <f>AB26+AB72+AB74+AB78</f>
        <v>18590928.136473868</v>
      </c>
      <c r="AC79" s="42"/>
      <c r="AD79" s="43"/>
      <c r="AG79" s="9"/>
      <c r="AH79" s="9"/>
      <c r="AI79" s="9"/>
      <c r="AJ79" s="9"/>
      <c r="AK79" s="9"/>
      <c r="AL79" s="9"/>
      <c r="AM79" s="9"/>
      <c r="AN79" s="9"/>
      <c r="AO79" s="6"/>
      <c r="AP79" s="6"/>
    </row>
    <row r="80" spans="1:42">
      <c r="Q80" s="86" t="s">
        <v>88</v>
      </c>
      <c r="R80" s="78"/>
      <c r="S80" s="78">
        <v>0</v>
      </c>
      <c r="T80" s="78">
        <v>0</v>
      </c>
      <c r="U80" s="78">
        <v>0</v>
      </c>
      <c r="V80" s="78">
        <v>0</v>
      </c>
      <c r="W80" s="78">
        <v>0</v>
      </c>
      <c r="X80" s="78">
        <v>0</v>
      </c>
      <c r="Y80" s="79">
        <v>0</v>
      </c>
      <c r="Z80" s="79">
        <v>0</v>
      </c>
      <c r="AA80" s="80">
        <v>0</v>
      </c>
      <c r="AB80" s="80">
        <v>0</v>
      </c>
      <c r="AC80" s="42"/>
      <c r="AG80" s="87"/>
      <c r="AH80" s="87"/>
      <c r="AI80" s="87"/>
      <c r="AJ80" s="87"/>
      <c r="AK80" s="87"/>
      <c r="AL80" s="87"/>
      <c r="AM80" s="87"/>
      <c r="AN80" s="87"/>
      <c r="AO80" s="9"/>
      <c r="AP80" s="9"/>
    </row>
    <row r="81" spans="2:40">
      <c r="B81" t="s">
        <v>89</v>
      </c>
      <c r="C81" s="88">
        <f>SUM(C27:C48)</f>
        <v>9147028</v>
      </c>
      <c r="D81" s="88">
        <f t="shared" ref="D81:N81" si="28">SUM(D27:D48)</f>
        <v>9699220</v>
      </c>
      <c r="E81" s="88">
        <f t="shared" si="28"/>
        <v>10082853</v>
      </c>
      <c r="F81" s="88">
        <f t="shared" si="28"/>
        <v>10498886</v>
      </c>
      <c r="G81" s="88">
        <f t="shared" si="28"/>
        <v>10890914</v>
      </c>
      <c r="H81" s="88">
        <f t="shared" si="28"/>
        <v>11189354</v>
      </c>
      <c r="I81" s="88">
        <f t="shared" si="28"/>
        <v>11444185</v>
      </c>
      <c r="J81" s="88">
        <f t="shared" si="28"/>
        <v>11791121</v>
      </c>
      <c r="K81" s="88">
        <f t="shared" si="28"/>
        <v>12194581</v>
      </c>
      <c r="L81" s="88">
        <f t="shared" si="28"/>
        <v>12711847</v>
      </c>
      <c r="M81" s="88">
        <f t="shared" si="28"/>
        <v>13342719</v>
      </c>
      <c r="N81" s="88">
        <f t="shared" si="28"/>
        <v>13980266</v>
      </c>
      <c r="O81" s="88"/>
      <c r="P81" s="34"/>
      <c r="Q81" s="86" t="s">
        <v>90</v>
      </c>
      <c r="R81" s="78">
        <f>R79</f>
        <v>12348564</v>
      </c>
      <c r="S81" s="78">
        <f>S79-S80</f>
        <v>12913023.507375432</v>
      </c>
      <c r="T81" s="78">
        <f t="shared" ref="T81:Z81" si="29">T79-T80</f>
        <v>13353593.070660805</v>
      </c>
      <c r="U81" s="78">
        <f t="shared" si="29"/>
        <v>13651692.494084682</v>
      </c>
      <c r="V81" s="78">
        <f t="shared" si="29"/>
        <v>14140761.684916837</v>
      </c>
      <c r="W81" s="78">
        <f t="shared" si="29"/>
        <v>14646546.874672405</v>
      </c>
      <c r="X81" s="78">
        <f t="shared" si="29"/>
        <v>15205837.03799898</v>
      </c>
      <c r="Y81" s="79">
        <f t="shared" si="29"/>
        <v>15914889.242407927</v>
      </c>
      <c r="Z81" s="79">
        <f t="shared" si="29"/>
        <v>16778073.887126725</v>
      </c>
      <c r="AA81" s="80">
        <f>AA79-AA80</f>
        <v>17806879.78021577</v>
      </c>
      <c r="AB81" s="80">
        <f>AB79-AB80</f>
        <v>18590928.136473868</v>
      </c>
      <c r="AC81" s="42"/>
      <c r="AD81" s="89"/>
      <c r="AG81" s="87"/>
      <c r="AH81" s="87"/>
      <c r="AI81" s="87"/>
      <c r="AJ81" s="87"/>
      <c r="AK81" s="87"/>
      <c r="AL81" s="87"/>
      <c r="AM81" s="87"/>
      <c r="AN81" s="87"/>
    </row>
    <row r="82" spans="2:40" ht="15.75" thickBot="1">
      <c r="B82" s="9"/>
      <c r="C82" s="90"/>
      <c r="D82" s="90"/>
      <c r="E82" s="90"/>
      <c r="F82" s="90"/>
      <c r="G82" s="90"/>
      <c r="H82" s="90"/>
      <c r="I82" s="90"/>
      <c r="J82" s="90"/>
      <c r="K82" s="90"/>
      <c r="L82" s="90"/>
      <c r="M82" s="90"/>
      <c r="N82" s="90"/>
      <c r="O82" s="88"/>
      <c r="Q82" s="86" t="s">
        <v>91</v>
      </c>
      <c r="R82" s="91">
        <f>R81</f>
        <v>12348564</v>
      </c>
      <c r="S82" s="91">
        <f t="shared" ref="S82:Z82" si="30">(R82*S81/R81)+S132</f>
        <v>13014416.507375432</v>
      </c>
      <c r="T82" s="91">
        <f t="shared" si="30"/>
        <v>13544001.420804841</v>
      </c>
      <c r="U82" s="91">
        <f t="shared" si="30"/>
        <v>13870715.431998817</v>
      </c>
      <c r="V82" s="91">
        <f t="shared" si="30"/>
        <v>14419620.076379919</v>
      </c>
      <c r="W82" s="91">
        <f t="shared" si="30"/>
        <v>14969406.442038016</v>
      </c>
      <c r="X82" s="91">
        <f t="shared" si="30"/>
        <v>15614999.257415382</v>
      </c>
      <c r="Y82" s="92">
        <f t="shared" si="30"/>
        <v>16460213.804376341</v>
      </c>
      <c r="Z82" s="92">
        <f t="shared" si="30"/>
        <v>17621299.518788144</v>
      </c>
      <c r="AA82" s="93">
        <f>Z82*AA79/Z79+AA132</f>
        <v>18774042.721133374</v>
      </c>
      <c r="AB82" s="93">
        <f>AA82*AB79/AA79+AB132</f>
        <v>19736993.883007035</v>
      </c>
      <c r="AC82" s="94"/>
      <c r="AF82" s="47"/>
      <c r="AG82" s="87"/>
      <c r="AH82" s="87"/>
      <c r="AI82" s="87"/>
      <c r="AJ82" s="87"/>
      <c r="AK82" s="87"/>
      <c r="AL82" s="87"/>
      <c r="AM82" s="87"/>
      <c r="AN82" s="87"/>
    </row>
    <row r="83" spans="2:40" ht="15.75" thickTop="1">
      <c r="B83" s="9"/>
      <c r="C83" s="90"/>
      <c r="D83" s="90"/>
      <c r="E83" s="90"/>
      <c r="F83" s="90"/>
      <c r="G83" s="90"/>
      <c r="H83" s="90"/>
      <c r="I83" s="90"/>
      <c r="J83" s="90"/>
      <c r="K83" s="90"/>
      <c r="L83" s="90"/>
      <c r="M83" s="90"/>
      <c r="N83" s="90"/>
      <c r="O83" s="88"/>
      <c r="P83" s="34"/>
      <c r="Q83" t="s">
        <v>92</v>
      </c>
      <c r="R83" s="95"/>
      <c r="S83" s="96">
        <f>S82-R82</f>
        <v>665852.50737543218</v>
      </c>
      <c r="T83" s="96">
        <f t="shared" ref="T83:Z83" si="31">T82-S82</f>
        <v>529584.91342940927</v>
      </c>
      <c r="U83" s="96">
        <f t="shared" si="31"/>
        <v>326714.01119397581</v>
      </c>
      <c r="V83" s="96">
        <f t="shared" si="31"/>
        <v>548904.64438110217</v>
      </c>
      <c r="W83" s="96">
        <f t="shared" si="31"/>
        <v>549786.36565809697</v>
      </c>
      <c r="X83" s="96">
        <f t="shared" si="31"/>
        <v>645592.8153773658</v>
      </c>
      <c r="Y83" s="97">
        <f t="shared" si="31"/>
        <v>845214.54696095921</v>
      </c>
      <c r="Z83" s="97">
        <f t="shared" si="31"/>
        <v>1161085.7144118026</v>
      </c>
      <c r="AA83" s="98">
        <f>AA82-Z82</f>
        <v>1152743.2023452297</v>
      </c>
      <c r="AB83" s="98">
        <f>AB82-AA82</f>
        <v>962951.16187366098</v>
      </c>
      <c r="AC83" s="49"/>
    </row>
    <row r="84" spans="2:40">
      <c r="B84" s="9"/>
      <c r="C84" s="90"/>
      <c r="D84" s="90"/>
      <c r="E84" s="90"/>
      <c r="F84" s="90"/>
      <c r="G84" s="90"/>
      <c r="H84" s="90"/>
      <c r="I84" s="90"/>
      <c r="J84" s="90"/>
      <c r="K84" s="90"/>
      <c r="L84" s="90"/>
      <c r="M84" s="90"/>
      <c r="N84" s="90"/>
      <c r="O84" s="88"/>
      <c r="Q84" t="s">
        <v>93</v>
      </c>
      <c r="R84" s="95"/>
      <c r="S84" s="96">
        <f>S82-$R$85</f>
        <v>665852.50737543218</v>
      </c>
      <c r="T84" s="96">
        <f>T82-S85</f>
        <v>745051.42080484144</v>
      </c>
      <c r="U84" s="96">
        <f t="shared" ref="U84:AB84" si="32">U82-T85</f>
        <v>601926.43199881725</v>
      </c>
      <c r="V84" s="96">
        <f t="shared" si="32"/>
        <v>795570.07637991942</v>
      </c>
      <c r="W84" s="96">
        <f t="shared" si="32"/>
        <v>919000.44203801639</v>
      </c>
      <c r="X84" s="96">
        <f t="shared" si="32"/>
        <v>1270407.2574153822</v>
      </c>
      <c r="Y84" s="97">
        <f t="shared" si="32"/>
        <v>1667645.8043763414</v>
      </c>
      <c r="Z84" s="97">
        <f t="shared" si="32"/>
        <v>2345968.518788144</v>
      </c>
      <c r="AA84" s="98">
        <f t="shared" si="32"/>
        <v>2597780.7211333737</v>
      </c>
      <c r="AB84" s="98">
        <f t="shared" si="32"/>
        <v>2555609.8830070347</v>
      </c>
      <c r="AC84" s="49"/>
      <c r="AG84" s="99"/>
      <c r="AH84" s="99"/>
      <c r="AI84" s="99"/>
      <c r="AJ84" s="99"/>
      <c r="AK84" s="99"/>
      <c r="AL84" s="99"/>
      <c r="AM84" s="99"/>
      <c r="AN84" s="99"/>
    </row>
    <row r="85" spans="2:40">
      <c r="B85" s="9"/>
      <c r="C85" s="90"/>
      <c r="D85" s="90"/>
      <c r="E85" s="90"/>
      <c r="F85" s="90"/>
      <c r="G85" s="90"/>
      <c r="H85" s="90"/>
      <c r="I85" s="90"/>
      <c r="J85" s="90"/>
      <c r="K85" s="90"/>
      <c r="L85" s="90"/>
      <c r="M85" s="90"/>
      <c r="N85" s="90"/>
      <c r="O85" s="88"/>
      <c r="P85" s="34"/>
      <c r="Q85" t="s">
        <v>94</v>
      </c>
      <c r="R85" s="96">
        <f t="shared" ref="R85:AB85" si="33">D79</f>
        <v>12348564</v>
      </c>
      <c r="S85" s="96">
        <f t="shared" si="33"/>
        <v>12798950</v>
      </c>
      <c r="T85" s="96">
        <f t="shared" si="33"/>
        <v>13268789</v>
      </c>
      <c r="U85" s="96">
        <f t="shared" si="33"/>
        <v>13624050</v>
      </c>
      <c r="V85" s="96">
        <f t="shared" si="33"/>
        <v>14050406</v>
      </c>
      <c r="W85" s="96">
        <f t="shared" si="33"/>
        <v>14344592</v>
      </c>
      <c r="X85" s="96">
        <f t="shared" si="33"/>
        <v>14792568</v>
      </c>
      <c r="Y85" s="97">
        <f t="shared" si="33"/>
        <v>15275331</v>
      </c>
      <c r="Z85" s="97">
        <f t="shared" si="33"/>
        <v>16176262</v>
      </c>
      <c r="AA85" s="98">
        <f t="shared" si="33"/>
        <v>17181384</v>
      </c>
      <c r="AB85" s="98">
        <f t="shared" si="33"/>
        <v>18157282</v>
      </c>
      <c r="AC85" s="100"/>
      <c r="AF85" s="47"/>
      <c r="AG85" s="99"/>
      <c r="AH85" s="99"/>
      <c r="AI85" s="99"/>
      <c r="AJ85" s="99"/>
      <c r="AK85" s="99"/>
      <c r="AL85" s="99"/>
      <c r="AM85" s="99"/>
      <c r="AN85" s="99"/>
    </row>
    <row r="86" spans="2:40">
      <c r="B86" s="9"/>
      <c r="C86" s="90"/>
      <c r="D86" s="90"/>
      <c r="E86" s="90"/>
      <c r="F86" s="90"/>
      <c r="G86" s="90"/>
      <c r="H86" s="90"/>
      <c r="I86" s="90"/>
      <c r="J86" s="90"/>
      <c r="K86" s="90"/>
      <c r="L86" s="90"/>
      <c r="M86" s="90"/>
      <c r="N86" s="90"/>
      <c r="O86" s="88"/>
      <c r="Q86" t="s">
        <v>95</v>
      </c>
      <c r="R86" s="96"/>
      <c r="S86" s="96">
        <f>S85-R85</f>
        <v>450386</v>
      </c>
      <c r="T86" s="96">
        <f t="shared" ref="T86:AB86" si="34">T85-S85</f>
        <v>469839</v>
      </c>
      <c r="U86" s="96">
        <f t="shared" si="34"/>
        <v>355261</v>
      </c>
      <c r="V86" s="96">
        <f t="shared" si="34"/>
        <v>426356</v>
      </c>
      <c r="W86" s="96">
        <f t="shared" si="34"/>
        <v>294186</v>
      </c>
      <c r="X86" s="96">
        <f t="shared" si="34"/>
        <v>447976</v>
      </c>
      <c r="Y86" s="97">
        <f t="shared" si="34"/>
        <v>482763</v>
      </c>
      <c r="Z86" s="97">
        <f t="shared" si="34"/>
        <v>900931</v>
      </c>
      <c r="AA86" s="98">
        <f t="shared" si="34"/>
        <v>1005122</v>
      </c>
      <c r="AB86" s="98">
        <f t="shared" si="34"/>
        <v>975898</v>
      </c>
      <c r="AC86" s="100"/>
    </row>
    <row r="87" spans="2:40">
      <c r="B87" s="9"/>
      <c r="C87" s="90"/>
      <c r="D87" s="90"/>
      <c r="E87" s="90"/>
      <c r="F87" s="90"/>
      <c r="G87" s="90"/>
      <c r="H87" s="90"/>
      <c r="I87" s="90"/>
      <c r="J87" s="90"/>
      <c r="K87" s="90"/>
      <c r="L87" s="90"/>
      <c r="M87" s="90"/>
      <c r="N87" s="90"/>
      <c r="O87" s="88"/>
      <c r="P87" s="34"/>
      <c r="Q87" t="s">
        <v>96</v>
      </c>
      <c r="R87" s="96"/>
      <c r="S87" s="96">
        <f t="shared" ref="S87:X87" si="35">S84-S86</f>
        <v>215466.50737543218</v>
      </c>
      <c r="T87" s="96">
        <f t="shared" si="35"/>
        <v>275212.42080484144</v>
      </c>
      <c r="U87" s="96">
        <f t="shared" si="35"/>
        <v>246665.43199881725</v>
      </c>
      <c r="V87" s="96">
        <f t="shared" si="35"/>
        <v>369214.07637991942</v>
      </c>
      <c r="W87" s="96">
        <f t="shared" si="35"/>
        <v>624814.44203801639</v>
      </c>
      <c r="X87" s="96">
        <f t="shared" si="35"/>
        <v>822431.25741538219</v>
      </c>
      <c r="Y87" s="97">
        <f>Y84-Y86</f>
        <v>1184882.8043763414</v>
      </c>
      <c r="Z87" s="97">
        <f>Z84-Z86</f>
        <v>1445037.518788144</v>
      </c>
      <c r="AA87" s="98">
        <f>AA84-AA86</f>
        <v>1592658.7211333737</v>
      </c>
      <c r="AB87" s="98">
        <f>AB84-AB86</f>
        <v>1579711.8830070347</v>
      </c>
      <c r="AC87" s="100"/>
      <c r="AF87" s="47"/>
    </row>
    <row r="88" spans="2:40">
      <c r="B88" s="9"/>
      <c r="C88" s="90"/>
      <c r="D88" s="90"/>
      <c r="E88" s="90"/>
      <c r="F88" s="90"/>
      <c r="G88" s="90"/>
      <c r="H88" s="90"/>
      <c r="I88" s="90"/>
      <c r="J88" s="90"/>
      <c r="K88" s="90"/>
      <c r="L88" s="90"/>
      <c r="M88" s="90"/>
      <c r="N88" s="90"/>
      <c r="O88" s="88"/>
      <c r="Q88" t="s">
        <v>97</v>
      </c>
      <c r="R88" s="96"/>
      <c r="S88" s="96">
        <f>S87+R88</f>
        <v>215466.50737543218</v>
      </c>
      <c r="T88" s="96">
        <f t="shared" ref="T88:AB88" si="36">T87+S88</f>
        <v>490678.92818027362</v>
      </c>
      <c r="U88" s="96">
        <f t="shared" si="36"/>
        <v>737344.36017909087</v>
      </c>
      <c r="V88" s="96">
        <f t="shared" si="36"/>
        <v>1106558.4365590103</v>
      </c>
      <c r="W88" s="96">
        <f t="shared" si="36"/>
        <v>1731372.8785970267</v>
      </c>
      <c r="X88" s="96">
        <f t="shared" si="36"/>
        <v>2553804.1360124089</v>
      </c>
      <c r="Y88" s="97">
        <f t="shared" si="36"/>
        <v>3738686.9403887503</v>
      </c>
      <c r="Z88" s="97">
        <f t="shared" si="36"/>
        <v>5183724.4591768943</v>
      </c>
      <c r="AA88" s="98">
        <f t="shared" si="36"/>
        <v>6776383.180310268</v>
      </c>
      <c r="AB88" s="98">
        <f t="shared" si="36"/>
        <v>8356095.0633173026</v>
      </c>
      <c r="AC88" s="100"/>
      <c r="AF88" s="47"/>
      <c r="AG88" s="9"/>
      <c r="AH88" s="9"/>
    </row>
    <row r="89" spans="2:40">
      <c r="B89" s="9"/>
      <c r="C89" s="90"/>
      <c r="D89" s="90"/>
      <c r="E89" s="90"/>
      <c r="F89" s="90"/>
      <c r="G89" s="90"/>
      <c r="H89" s="90"/>
      <c r="I89" s="90"/>
      <c r="J89" s="90"/>
      <c r="K89" s="90"/>
      <c r="L89" s="90"/>
      <c r="M89" s="90"/>
      <c r="N89" s="90"/>
      <c r="O89" s="88"/>
      <c r="P89" s="34"/>
      <c r="Q89" t="s">
        <v>98</v>
      </c>
      <c r="R89" s="101"/>
      <c r="S89" s="89"/>
      <c r="T89" s="96"/>
      <c r="U89" s="89"/>
      <c r="V89" s="89"/>
      <c r="W89" s="89"/>
      <c r="X89" s="89"/>
      <c r="Y89" s="55"/>
      <c r="Z89" s="55"/>
      <c r="AA89" s="89"/>
      <c r="AB89" s="89"/>
      <c r="AC89" s="100"/>
      <c r="AF89" s="47"/>
      <c r="AG89" s="102"/>
      <c r="AH89" s="102"/>
    </row>
    <row r="90" spans="2:40">
      <c r="B90" s="9"/>
      <c r="C90" s="90"/>
      <c r="D90" s="90"/>
      <c r="E90" s="90"/>
      <c r="F90" s="90"/>
      <c r="G90" s="90"/>
      <c r="H90" s="90"/>
      <c r="I90" s="90"/>
      <c r="J90" s="90"/>
      <c r="K90" s="90"/>
      <c r="L90" s="90"/>
      <c r="M90" s="90"/>
      <c r="N90" s="90"/>
      <c r="O90" s="88"/>
      <c r="Q90" s="103" t="s">
        <v>99</v>
      </c>
      <c r="R90" s="101"/>
      <c r="S90" s="89">
        <f>((S82-R82)-(S85-R85))/R82</f>
        <v>1.7448709613152768E-2</v>
      </c>
      <c r="T90" s="89">
        <f t="shared" ref="T90:AB90" si="37">((T82-S82)-(T85-S85))/S82</f>
        <v>4.5907485284146631E-3</v>
      </c>
      <c r="U90" s="89">
        <f t="shared" si="37"/>
        <v>-2.107721929368183E-3</v>
      </c>
      <c r="V90" s="89">
        <f t="shared" si="37"/>
        <v>8.8350629772412891E-3</v>
      </c>
      <c r="W90" s="89">
        <f t="shared" si="37"/>
        <v>1.7725873795855659E-2</v>
      </c>
      <c r="X90" s="89">
        <f t="shared" si="37"/>
        <v>1.3201379503091451E-2</v>
      </c>
      <c r="Y90" s="55">
        <f t="shared" si="37"/>
        <v>2.3211755632254364E-2</v>
      </c>
      <c r="Z90" s="55">
        <f t="shared" si="37"/>
        <v>1.5805062893085524E-2</v>
      </c>
      <c r="AA90" s="56">
        <f t="shared" si="37"/>
        <v>8.3774299499213053E-3</v>
      </c>
      <c r="AB90" s="56">
        <f t="shared" si="37"/>
        <v>-6.8961375653871042E-4</v>
      </c>
      <c r="AC90" s="56"/>
      <c r="AG90" s="102"/>
      <c r="AH90" s="102"/>
    </row>
    <row r="91" spans="2:40">
      <c r="B91" s="9"/>
      <c r="C91" s="90"/>
      <c r="D91" s="90"/>
      <c r="E91" s="90"/>
      <c r="F91" s="90"/>
      <c r="G91" s="90"/>
      <c r="H91" s="90"/>
      <c r="I91" s="90"/>
      <c r="J91" s="90"/>
      <c r="K91" s="90"/>
      <c r="L91" s="90"/>
      <c r="M91" s="90"/>
      <c r="N91" s="90"/>
      <c r="O91" s="88"/>
      <c r="P91" s="34"/>
      <c r="Q91" s="103" t="s">
        <v>100</v>
      </c>
      <c r="R91" s="101"/>
      <c r="S91" s="89">
        <f>((S82-$R82)-(S85-$R85))/$R82</f>
        <v>1.7448709613152768E-2</v>
      </c>
      <c r="T91" s="89">
        <f t="shared" ref="T91:Z91" si="38">((T82-$R82)-(T85-$R85))/$R82</f>
        <v>2.2286997970358453E-2</v>
      </c>
      <c r="U91" s="89">
        <f t="shared" si="38"/>
        <v>1.9975232099766194E-2</v>
      </c>
      <c r="V91" s="89">
        <f t="shared" si="38"/>
        <v>2.9899353186323481E-2</v>
      </c>
      <c r="W91" s="89">
        <f t="shared" si="38"/>
        <v>5.0598145827969662E-2</v>
      </c>
      <c r="X91" s="89">
        <f t="shared" si="38"/>
        <v>6.6601368176524997E-2</v>
      </c>
      <c r="Y91" s="55">
        <f t="shared" si="38"/>
        <v>9.5953084453896123E-2</v>
      </c>
      <c r="Z91" s="55">
        <f t="shared" si="38"/>
        <v>0.11702069315817969</v>
      </c>
      <c r="AA91" s="56">
        <f>((AA82-$R82)-(AA85-$R85))/$R82</f>
        <v>0.12897521696720152</v>
      </c>
      <c r="AB91" s="56">
        <f>((AB82-$R82)-(AB85-$R85))/$R82</f>
        <v>0.12792676808469669</v>
      </c>
      <c r="AC91" s="56"/>
      <c r="AD91" s="47"/>
      <c r="AF91" s="47"/>
      <c r="AG91" s="102"/>
      <c r="AH91" s="102"/>
    </row>
    <row r="92" spans="2:40">
      <c r="B92" s="9"/>
      <c r="C92" s="90"/>
      <c r="D92" s="90"/>
      <c r="E92" s="90"/>
      <c r="F92" s="90"/>
      <c r="G92" s="90"/>
      <c r="H92" s="90"/>
      <c r="I92" s="90"/>
      <c r="J92" s="90"/>
      <c r="K92" s="90"/>
      <c r="L92" s="90"/>
      <c r="M92" s="90"/>
      <c r="N92" s="90"/>
      <c r="O92" s="88"/>
      <c r="Q92" s="103"/>
      <c r="R92" s="101"/>
      <c r="S92" s="104"/>
      <c r="T92" s="105"/>
      <c r="U92" s="105"/>
      <c r="V92" s="105"/>
      <c r="W92" s="105"/>
      <c r="X92" s="105"/>
      <c r="Y92" s="106"/>
      <c r="Z92" s="106"/>
      <c r="AA92" s="105"/>
      <c r="AB92" s="105"/>
      <c r="AC92" s="107"/>
      <c r="AD92" s="108"/>
      <c r="AF92" s="47"/>
      <c r="AG92" s="102"/>
      <c r="AH92" s="102"/>
    </row>
    <row r="93" spans="2:40">
      <c r="B93" s="9"/>
      <c r="C93" s="90"/>
      <c r="D93" s="90"/>
      <c r="E93" s="90"/>
      <c r="F93" s="90"/>
      <c r="G93" s="90"/>
      <c r="H93" s="90"/>
      <c r="I93" s="90"/>
      <c r="J93" s="90"/>
      <c r="K93" s="90"/>
      <c r="L93" s="90"/>
      <c r="M93" s="90"/>
      <c r="N93" s="90"/>
      <c r="O93" s="88"/>
      <c r="P93" s="34"/>
      <c r="Q93" s="59" t="s">
        <v>101</v>
      </c>
      <c r="R93" s="101"/>
      <c r="S93" s="96">
        <f t="shared" ref="S93:Z93" si="39">(R85*S81/R81)-S85+S132</f>
        <v>215466.50737543218</v>
      </c>
      <c r="T93" s="96">
        <f t="shared" si="39"/>
        <v>52394.576617950574</v>
      </c>
      <c r="U93" s="96">
        <f t="shared" si="39"/>
        <v>-34690.703349884599</v>
      </c>
      <c r="V93" s="96">
        <f t="shared" si="39"/>
        <v>113711.9039339982</v>
      </c>
      <c r="W93" s="96">
        <f t="shared" si="39"/>
        <v>242394.35767611861</v>
      </c>
      <c r="X93" s="96">
        <f t="shared" si="39"/>
        <v>173757.77376664244</v>
      </c>
      <c r="Y93" s="97">
        <f t="shared" si="39"/>
        <v>324101.35981980339</v>
      </c>
      <c r="Z93" s="97">
        <f t="shared" si="39"/>
        <v>195889.57081258297</v>
      </c>
      <c r="AA93" s="98">
        <f>(Z85*AA79/Z79)-AA85+AA132</f>
        <v>59013.706331953406</v>
      </c>
      <c r="AB93" s="98">
        <f>(AA85*AB79/AA79)-AB85+AB132</f>
        <v>-83072.624777186662</v>
      </c>
      <c r="AC93" s="100"/>
      <c r="AD93" s="108"/>
      <c r="AF93" s="47"/>
    </row>
    <row r="94" spans="2:40">
      <c r="B94" s="9"/>
      <c r="C94" s="90"/>
      <c r="D94" s="90"/>
      <c r="E94" s="90"/>
      <c r="F94" s="90"/>
      <c r="G94" s="90"/>
      <c r="H94" s="90"/>
      <c r="I94" s="90"/>
      <c r="J94" s="90"/>
      <c r="K94" s="90"/>
      <c r="L94" s="90"/>
      <c r="M94" s="90"/>
      <c r="N94" s="90"/>
      <c r="O94" s="88"/>
      <c r="P94" s="88"/>
      <c r="Q94" s="6"/>
      <c r="R94" s="47"/>
      <c r="S94" s="56"/>
      <c r="T94" s="56"/>
      <c r="U94" s="56"/>
      <c r="V94" s="56"/>
      <c r="W94" s="56"/>
      <c r="X94" s="56"/>
      <c r="Y94" s="56"/>
      <c r="Z94" s="56"/>
      <c r="AA94" s="56"/>
      <c r="AB94" s="56"/>
      <c r="AD94" s="47"/>
      <c r="AF94" s="47"/>
      <c r="AG94" s="53"/>
      <c r="AH94" s="53"/>
    </row>
    <row r="95" spans="2:40">
      <c r="B95" s="6"/>
      <c r="C95" s="9"/>
      <c r="D95" s="9"/>
      <c r="E95" s="9"/>
      <c r="F95" s="9"/>
      <c r="G95" s="9"/>
      <c r="H95" s="9"/>
      <c r="I95" s="9"/>
      <c r="J95" s="9"/>
      <c r="K95" s="9"/>
      <c r="L95" s="9"/>
      <c r="M95" s="9"/>
      <c r="N95" s="9"/>
      <c r="Q95" s="109" t="s">
        <v>102</v>
      </c>
      <c r="R95" s="110" t="s">
        <v>103</v>
      </c>
      <c r="S95" s="110"/>
      <c r="T95" s="110"/>
      <c r="U95" s="47"/>
      <c r="V95" s="47"/>
      <c r="W95" s="47"/>
      <c r="AF95" s="47"/>
      <c r="AG95" s="53"/>
      <c r="AH95" s="53"/>
    </row>
    <row r="96" spans="2:40">
      <c r="B96" s="9"/>
      <c r="C96" s="9"/>
      <c r="D96" s="9"/>
      <c r="E96" s="9"/>
      <c r="F96" s="9"/>
      <c r="G96" s="9"/>
      <c r="H96" s="9"/>
      <c r="I96" s="9"/>
      <c r="J96" s="9"/>
      <c r="K96" s="9"/>
      <c r="L96" s="9"/>
      <c r="M96" s="9"/>
      <c r="N96" s="9"/>
      <c r="Q96" t="s">
        <v>104</v>
      </c>
      <c r="R96" s="111" t="s">
        <v>105</v>
      </c>
      <c r="S96" s="112"/>
      <c r="T96" s="112"/>
      <c r="V96" s="96"/>
      <c r="W96" s="96"/>
      <c r="X96" s="96"/>
      <c r="Y96" s="96"/>
      <c r="Z96" s="96"/>
      <c r="AA96" s="56"/>
      <c r="AB96" s="56"/>
      <c r="AF96" s="102"/>
    </row>
    <row r="97" spans="2:32">
      <c r="B97" s="9"/>
      <c r="C97" s="9"/>
      <c r="D97" s="9"/>
      <c r="E97" s="9"/>
      <c r="F97" s="9"/>
      <c r="G97" s="9"/>
      <c r="H97" s="9"/>
      <c r="I97" s="9"/>
      <c r="J97" s="9"/>
      <c r="K97" s="9"/>
      <c r="L97" s="9"/>
      <c r="M97" s="9"/>
      <c r="N97" s="9"/>
      <c r="Q97" s="113" t="s">
        <v>106</v>
      </c>
      <c r="R97" s="111" t="s">
        <v>107</v>
      </c>
      <c r="S97" s="112"/>
      <c r="T97" s="112"/>
      <c r="V97" s="96"/>
      <c r="W97" s="96"/>
      <c r="X97" s="96"/>
      <c r="Y97" s="96"/>
      <c r="Z97" s="96"/>
      <c r="AA97" s="56"/>
      <c r="AB97" s="56"/>
      <c r="AF97" s="102"/>
    </row>
    <row r="98" spans="2:32">
      <c r="B98" s="9"/>
      <c r="C98" s="9"/>
      <c r="D98" s="9"/>
      <c r="E98" s="9"/>
      <c r="F98" s="9"/>
      <c r="G98" s="9"/>
      <c r="H98" s="9"/>
      <c r="I98" s="9"/>
      <c r="J98" s="9"/>
      <c r="K98" s="9"/>
      <c r="L98" s="9"/>
      <c r="M98" s="9"/>
      <c r="N98" s="9"/>
      <c r="Q98" s="89" t="s">
        <v>108</v>
      </c>
      <c r="R98" s="114" t="s">
        <v>109</v>
      </c>
      <c r="S98" s="112"/>
      <c r="T98" s="112"/>
      <c r="V98" s="96"/>
      <c r="W98" s="96"/>
      <c r="X98" s="96"/>
      <c r="Y98" s="96"/>
      <c r="Z98" s="96"/>
      <c r="AA98" s="56"/>
      <c r="AB98" s="56"/>
    </row>
    <row r="99" spans="2:32">
      <c r="B99" s="9"/>
      <c r="C99" s="9"/>
      <c r="D99" s="9"/>
      <c r="E99" s="9"/>
      <c r="F99" s="9"/>
      <c r="G99" s="9"/>
      <c r="H99" s="9"/>
      <c r="I99" s="9"/>
      <c r="J99" s="9"/>
      <c r="K99" s="9"/>
      <c r="L99" s="9"/>
      <c r="M99" s="9"/>
      <c r="N99" s="9"/>
      <c r="Q99" s="89" t="s">
        <v>110</v>
      </c>
      <c r="R99" s="114" t="s">
        <v>109</v>
      </c>
      <c r="S99" s="112"/>
      <c r="T99" s="112"/>
      <c r="AA99" s="56"/>
    </row>
    <row r="100" spans="2:32">
      <c r="B100" s="9"/>
      <c r="C100" s="9"/>
      <c r="D100" s="9"/>
      <c r="E100" s="9"/>
      <c r="F100" s="9"/>
      <c r="G100" s="9"/>
      <c r="H100" s="9"/>
      <c r="I100" s="9"/>
      <c r="J100" s="9"/>
      <c r="K100" s="9"/>
      <c r="L100" s="9"/>
      <c r="M100" s="9"/>
      <c r="N100" s="9"/>
      <c r="Q100" t="s">
        <v>111</v>
      </c>
      <c r="R100" s="115">
        <v>0.8</v>
      </c>
      <c r="S100" s="116"/>
      <c r="T100" s="116"/>
      <c r="AA100" s="56"/>
    </row>
    <row r="101" spans="2:32">
      <c r="B101" s="9"/>
      <c r="C101" s="9"/>
      <c r="D101" s="9"/>
      <c r="E101" s="9"/>
      <c r="F101" s="9"/>
      <c r="G101" s="9"/>
      <c r="H101" s="9"/>
      <c r="I101" s="9"/>
      <c r="J101" s="9"/>
      <c r="K101" s="9"/>
      <c r="L101" s="9"/>
      <c r="M101" s="9"/>
      <c r="N101" s="9"/>
      <c r="AA101" s="56"/>
    </row>
    <row r="102" spans="2:32">
      <c r="B102" s="9"/>
      <c r="C102" s="9"/>
      <c r="D102" s="9"/>
      <c r="E102" s="9"/>
      <c r="F102" s="9"/>
      <c r="G102" s="9"/>
      <c r="H102" s="9"/>
      <c r="I102" s="9"/>
      <c r="J102" s="9"/>
      <c r="K102" s="9"/>
      <c r="L102" s="9"/>
      <c r="M102" s="9"/>
      <c r="N102" s="9"/>
      <c r="Q102" s="109" t="s">
        <v>112</v>
      </c>
      <c r="AE102" s="89"/>
    </row>
    <row r="103" spans="2:32">
      <c r="B103" s="9"/>
      <c r="C103" s="9"/>
      <c r="D103" s="9"/>
      <c r="E103" s="9"/>
      <c r="F103" s="9"/>
      <c r="G103" s="9"/>
      <c r="H103" s="9"/>
      <c r="I103" s="9"/>
      <c r="J103" s="9"/>
      <c r="K103" s="9"/>
      <c r="L103" s="9"/>
      <c r="M103" s="9"/>
      <c r="N103" s="9"/>
      <c r="Q103" s="38" t="s">
        <v>113</v>
      </c>
      <c r="AE103" s="89"/>
    </row>
    <row r="104" spans="2:32">
      <c r="B104" s="9"/>
      <c r="C104" s="9"/>
      <c r="D104" s="9"/>
      <c r="E104" s="9"/>
      <c r="F104" s="9"/>
      <c r="G104" s="9"/>
      <c r="H104" s="9"/>
      <c r="I104" s="9"/>
      <c r="J104" s="9"/>
      <c r="K104" s="9"/>
      <c r="L104" s="9"/>
      <c r="M104" s="9"/>
      <c r="N104" s="9"/>
      <c r="Q104" s="103" t="s">
        <v>114</v>
      </c>
      <c r="S104" s="89">
        <f>VLOOKUP(TEXT(S$7,"0000Q2"),'Wage, price statistics'!$AC$3:$AH$55,5)</f>
        <v>4.1976225854383209E-2</v>
      </c>
      <c r="T104" s="89">
        <f>VLOOKUP(TEXT(T$7,"0000Q2"),'Wage, price statistics'!$AC$3:$AH$55,5)</f>
        <v>2.3529411764705799E-2</v>
      </c>
      <c r="U104" s="89">
        <f>VLOOKUP(TEXT(U$7,"0000Q2"),'Wage, price statistics'!$AC$3:$AH$55,5)</f>
        <v>-7.3145245559038674E-3</v>
      </c>
      <c r="V104" s="89">
        <f>VLOOKUP(TEXT(V$7,"0000Q2"),'Wage, price statistics'!$AC$3:$AH$55,5)</f>
        <v>2.0701754385964888E-2</v>
      </c>
      <c r="W104" s="89">
        <f>VLOOKUP(TEXT(W$7,"0000Q2"),'Wage, price statistics'!$AC$3:$AH$55,5)</f>
        <v>2.5782055689240302E-2</v>
      </c>
      <c r="X104" s="89">
        <f>VLOOKUP(TEXT(X$7,"0000Q2"),'Wage, price statistics'!$AC$3:$AH$55,5)</f>
        <v>6.7024128686326012E-3</v>
      </c>
      <c r="Y104" s="55">
        <f>VLOOKUP(TEXT(Y$7,"0000Q2"),'Wage, price statistics'!$AC$3:$AH$55,5)</f>
        <v>2.4300932090545846E-2</v>
      </c>
      <c r="Z104" s="55">
        <f>VLOOKUP(TEXT(Z$7,"0000Q2"),'Wage, price statistics'!$AC$3:$AH$55,5)</f>
        <v>4.5173870653233639E-2</v>
      </c>
      <c r="AA104" s="56">
        <f>VLOOKUP(TEXT(AA$7,"0000Q2"),'Wage, price statistics'!$AC$3:$AH$55,5)</f>
        <v>4.3749999999999956E-2</v>
      </c>
      <c r="AB104" s="56">
        <f>AA104</f>
        <v>4.3749999999999956E-2</v>
      </c>
      <c r="AC104" s="56"/>
      <c r="AE104" s="89"/>
    </row>
    <row r="105" spans="2:32">
      <c r="B105" s="9"/>
      <c r="C105" s="9"/>
      <c r="D105" s="9"/>
      <c r="E105" s="9"/>
      <c r="F105" s="9"/>
      <c r="G105" s="9"/>
      <c r="H105" s="9"/>
      <c r="I105" s="9"/>
      <c r="J105" s="9"/>
      <c r="K105" s="9"/>
      <c r="L105" s="9"/>
      <c r="M105" s="9"/>
      <c r="N105" s="9"/>
      <c r="Q105" s="103" t="s">
        <v>115</v>
      </c>
      <c r="S105" s="89">
        <f>VLOOKUP(TEXT(S$7,"0000Q2"),'Wage, price statistics'!$AJ$3:$AM$55,3)</f>
        <v>2.730485062640553E-2</v>
      </c>
      <c r="T105" s="89">
        <f>VLOOKUP(TEXT(T$7,"0000Q2"),'Wage, price statistics'!$AJ$3:$AM$55,3)</f>
        <v>1.8136335209506083E-2</v>
      </c>
      <c r="U105" s="89">
        <f>VLOOKUP(TEXT(U$7,"0000Q2"),'Wage, price statistics'!$AJ$3:$AM$55,3)</f>
        <v>2.457002457002444E-2</v>
      </c>
      <c r="V105" s="89">
        <f>VLOOKUP(TEXT(V$7,"0000Q2"),'Wage, price statistics'!$AJ$3:$AM$55,3)</f>
        <v>1.1990407673860837E-2</v>
      </c>
      <c r="W105" s="89">
        <f>VLOOKUP(TEXT(W$7,"0000Q2"),'Wage, price statistics'!$AJ$3:$AM$55,3)</f>
        <v>3.7026066350710929E-2</v>
      </c>
      <c r="X105" s="89">
        <f>VLOOKUP(TEXT(X$7,"0000Q2"),'Wage, price statistics'!$AJ$3:$AM$55,3)</f>
        <v>2.4850042844901665E-2</v>
      </c>
      <c r="Y105" s="55">
        <f>VLOOKUP(TEXT(Y$7,"0000Q2"),'Wage, price statistics'!$AJ$3:$AM$55,3)</f>
        <v>3.3444816053511683E-2</v>
      </c>
      <c r="Z105" s="55">
        <f>VLOOKUP(TEXT(Z$7,"0000Q2"),'Wage, price statistics'!$AJ$3:$AM$55,3)</f>
        <v>2.1574973031283751E-2</v>
      </c>
      <c r="AA105" s="56">
        <f>VLOOKUP(TEXT(AA$7,"0000Q2"),'Wage, price statistics'!$AJ$3:$AM$55,3)</f>
        <v>1.9857444561773629E-2</v>
      </c>
      <c r="AB105" s="56">
        <f>AB106</f>
        <v>3.2000000000000001E-2</v>
      </c>
      <c r="AC105" s="56"/>
      <c r="AE105" s="89"/>
    </row>
    <row r="106" spans="2:32">
      <c r="B106" s="9"/>
      <c r="C106" s="9"/>
      <c r="D106" s="9"/>
      <c r="E106" s="9"/>
      <c r="F106" s="9"/>
      <c r="G106" s="9"/>
      <c r="H106" s="9"/>
      <c r="I106" s="9"/>
      <c r="J106" s="9"/>
      <c r="K106" s="9"/>
      <c r="L106" s="9"/>
      <c r="M106" s="9"/>
      <c r="N106" s="9"/>
      <c r="Q106" s="103" t="s">
        <v>116</v>
      </c>
      <c r="S106" s="89">
        <f>VLOOKUP(TEXT(S$7,"0000Q2"),'Wage, price statistics'!$AO$3:$AR$55,3)</f>
        <v>3.0600235386426089E-2</v>
      </c>
      <c r="T106" s="89">
        <f>VLOOKUP(TEXT(T$7,"0000Q2"),'Wage, price statistics'!$AO$3:$AR$55,3)</f>
        <v>2.7788351732013661E-2</v>
      </c>
      <c r="U106" s="89">
        <f>VLOOKUP(TEXT(U$7,"0000Q2"),'Wage, price statistics'!$AO$3:$AR$55,3)</f>
        <v>2.0370370370370372E-2</v>
      </c>
      <c r="V106" s="89">
        <f>VLOOKUP(TEXT(V$7,"0000Q2"),'Wage, price statistics'!$AO$3:$AR$55,3)</f>
        <v>2.5408348457350183E-2</v>
      </c>
      <c r="W106" s="89">
        <f>VLOOKUP(TEXT(W$7,"0000Q2"),'Wage, price statistics'!$AO$3:$AR$55,3)</f>
        <v>2.7964601769911557E-2</v>
      </c>
      <c r="X106" s="89">
        <f>VLOOKUP(TEXT(X$7,"0000Q2"),'Wage, price statistics'!$AO$3:$AR$55,3)</f>
        <v>2.1694214876033069E-2</v>
      </c>
      <c r="Y106" s="55">
        <f>VLOOKUP(TEXT(Y$7,"0000Q2"),'Wage, price statistics'!$AO$3:$AR$55,3)</f>
        <v>1.6177957532861331E-2</v>
      </c>
      <c r="Z106" s="55">
        <f>VLOOKUP(TEXT(Z$7,"0000Q2"),'Wage, price statistics'!$AO$3:$AR$55,3)</f>
        <v>3.0845771144278666E-2</v>
      </c>
      <c r="AA106" s="56">
        <f>VLOOKUP(TEXT(AA$7,"0000Q2"),'Wage, price statistics'!$AO$3:$AR$55,3)</f>
        <v>3.6042471042470936E-2</v>
      </c>
      <c r="AB106" s="56">
        <f>'Health Vote 2019-20 post-Budget'!AllIndustriesWageIncr19</f>
        <v>3.2000000000000001E-2</v>
      </c>
      <c r="AC106" s="56"/>
      <c r="AE106" s="89"/>
    </row>
    <row r="107" spans="2:32">
      <c r="B107" s="9"/>
      <c r="C107" s="9"/>
      <c r="D107" s="9"/>
      <c r="E107" s="9"/>
      <c r="F107" s="9"/>
      <c r="G107" s="9"/>
      <c r="H107" s="9"/>
      <c r="I107" s="9"/>
      <c r="J107" s="9"/>
      <c r="K107" s="9"/>
      <c r="L107" s="9"/>
      <c r="M107" s="9"/>
      <c r="N107" s="9"/>
      <c r="Q107" s="103" t="s">
        <v>117</v>
      </c>
      <c r="S107" s="55">
        <f>VLOOKUP(DATE(S$7-1,6,1),'Wage, price statistics'!$BK$3:$BM$64,3)</f>
        <v>2.0000000000000018E-2</v>
      </c>
      <c r="T107" s="55">
        <f>VLOOKUP(DATE(T$7-1,6,1),'Wage, price statistics'!$BK$3:$BM$64,3)</f>
        <v>1.9607843137254832E-2</v>
      </c>
      <c r="U107" s="55">
        <f>VLOOKUP(DATE(U$7-1,6,1),'Wage, price statistics'!$BK$3:$BM$64,3)</f>
        <v>3.8461538461538547E-2</v>
      </c>
      <c r="V107" s="55">
        <f>VLOOKUP(DATE(V$7-1,6,1),'Wage, price statistics'!$BK$3:$BM$64,3)</f>
        <v>1.8518518518518601E-2</v>
      </c>
      <c r="W107" s="55">
        <f>VLOOKUP(DATE(W$7-1,6,1),'Wage, price statistics'!$BK$3:$BM$64,3)</f>
        <v>3.6363636363636376E-2</v>
      </c>
      <c r="X107" s="55">
        <f>VLOOKUP(DATE(X$7-1,6,1),'Wage, price statistics'!$BK$3:$BM$64,3)</f>
        <v>3.5087719298245723E-2</v>
      </c>
      <c r="Y107" s="55">
        <f>VLOOKUP(DATE(Y$7-1,6,1),'Wage, price statistics'!$BK$3:$BM$64,3)</f>
        <v>3.3898305084745672E-2</v>
      </c>
      <c r="Z107" s="55">
        <f>VLOOKUP(DATE(Z$7-1,6,1),'Wage, price statistics'!$BK$3:$BM$64,3)</f>
        <v>3.2786885245901676E-2</v>
      </c>
      <c r="AA107" s="89">
        <f>VLOOKUP(DATE(AA$7-1,6,1),'Wage, price statistics'!$BK$3:$BM$64,3)</f>
        <v>4.7619047619047672E-2</v>
      </c>
      <c r="AB107" s="89">
        <f>VLOOKUP(DATE(AB$7-1,6,1),'Wage, price statistics'!$BK$3:$BM$64,3)</f>
        <v>7.2727272727272751E-2</v>
      </c>
      <c r="AC107" s="89"/>
      <c r="AE107" s="89"/>
    </row>
    <row r="108" spans="2:32">
      <c r="B108" s="9"/>
      <c r="C108" s="9"/>
      <c r="D108" s="9"/>
      <c r="E108" s="9"/>
      <c r="F108" s="9"/>
      <c r="G108" s="9"/>
      <c r="H108" s="9"/>
      <c r="I108" s="9"/>
      <c r="J108" s="9"/>
      <c r="K108" s="9"/>
      <c r="L108" s="9"/>
      <c r="M108" s="9"/>
      <c r="N108" s="9"/>
      <c r="Q108" s="38" t="s">
        <v>118</v>
      </c>
      <c r="S108" s="89"/>
      <c r="T108" s="89"/>
      <c r="U108" s="89"/>
      <c r="V108" s="89"/>
      <c r="W108" s="89"/>
      <c r="X108" s="89"/>
      <c r="Y108" s="89"/>
      <c r="Z108" s="89"/>
      <c r="AA108" s="89"/>
      <c r="AB108" s="89"/>
      <c r="AC108" s="89"/>
      <c r="AE108" s="89"/>
    </row>
    <row r="109" spans="2:32">
      <c r="B109" s="9"/>
      <c r="C109" s="9"/>
      <c r="D109" s="9"/>
      <c r="E109" s="9"/>
      <c r="F109" s="9"/>
      <c r="G109" s="9"/>
      <c r="H109" s="9"/>
      <c r="I109" s="9"/>
      <c r="J109" s="9"/>
      <c r="K109" s="9"/>
      <c r="L109" s="9"/>
      <c r="M109" s="9"/>
      <c r="N109" s="9"/>
      <c r="Q109" s="103" t="s">
        <v>119</v>
      </c>
      <c r="S109" s="89">
        <f>VLOOKUP(TEXT(S$7,"0000Q2"),'Wage, price statistics'!$BV$16:$CB$55,6)</f>
        <v>1.6699410609037235E-2</v>
      </c>
      <c r="T109" s="89">
        <f>VLOOKUP(TEXT(T$7,"0000Q2"),'Wage, price statistics'!$BV$16:$CB$55,6)</f>
        <v>1.9323671497584627E-2</v>
      </c>
      <c r="U109" s="89">
        <f>VLOOKUP(TEXT(U$7,"0000Q2"),'Wage, price statistics'!$BV$16:$CB$55,6)</f>
        <v>1.4218009478673022E-2</v>
      </c>
      <c r="V109" s="89">
        <f>VLOOKUP(TEXT(V$7,"0000Q2"),'Wage, price statistics'!$BV$16:$CB$55,6)</f>
        <v>6.5420560747664336E-3</v>
      </c>
      <c r="W109" s="89">
        <f>VLOOKUP(TEXT(W$7,"0000Q2"),'Wage, price statistics'!$BV$16:$CB$55,6)</f>
        <v>4.6425255338904403E-3</v>
      </c>
      <c r="X109" s="89">
        <f>VLOOKUP(TEXT(X$7,"0000Q2"),'Wage, price statistics'!$BV$16:$CB$55,6)</f>
        <v>1.6635859519408491E-2</v>
      </c>
      <c r="Y109" s="55">
        <f>VLOOKUP(TEXT(Y$7,"0000Q2"),'Wage, price statistics'!$BV$16:$CB$55,6)</f>
        <v>1.7272727272727328E-2</v>
      </c>
      <c r="Z109" s="55">
        <f>VLOOKUP(TEXT(Z$7,"0000Q2"),'Wage, price statistics'!$BV$16:$CB$55,6)</f>
        <v>8.936550491510209E-3</v>
      </c>
      <c r="AA109" s="56">
        <f>VLOOKUP(TEXT(AA$7,"0000Q2"),'Wage, price statistics'!$BV$16:$CB$55,6)</f>
        <v>4.0893711248892739E-2</v>
      </c>
      <c r="AB109" s="56">
        <f>VLOOKUP(TEXT(AB$7,"0000Q2"),'Wage, price statistics'!$BV$16:$CB$55,6)</f>
        <v>2.0147472559999713E-2</v>
      </c>
      <c r="AC109" s="56"/>
      <c r="AE109" s="89"/>
    </row>
    <row r="110" spans="2:32">
      <c r="B110" s="9"/>
      <c r="C110" s="9"/>
      <c r="D110" s="9"/>
      <c r="E110" s="9"/>
      <c r="F110" s="9"/>
      <c r="G110" s="9"/>
      <c r="H110" s="9"/>
      <c r="I110" s="9"/>
      <c r="J110" s="9"/>
      <c r="K110" s="9"/>
      <c r="L110" s="9"/>
      <c r="M110" s="9"/>
      <c r="N110" s="9"/>
      <c r="Q110" s="103" t="s">
        <v>120</v>
      </c>
      <c r="S110" s="55">
        <f>VLOOKUP(DATE(S$7,6,1),'Wage, price statistics'!$DB$8:$DF$84,4)</f>
        <v>1.5717092337917515E-2</v>
      </c>
      <c r="T110" s="55">
        <f>VLOOKUP(DATE(T$7,6,1),'Wage, price statistics'!$DB$8:$DF$84,4)</f>
        <v>1.934235976789167E-2</v>
      </c>
      <c r="U110" s="55">
        <f>VLOOKUP(DATE(U$7,6,1),'Wage, price statistics'!$DB$8:$DF$84,4)</f>
        <v>1.6129032258064502E-2</v>
      </c>
      <c r="V110" s="55">
        <f>VLOOKUP(DATE(V$7,6,1),'Wage, price statistics'!$DB$8:$DF$84,4)</f>
        <v>1.1204481792717047E-2</v>
      </c>
      <c r="W110" s="55">
        <f>VLOOKUP(DATE(W$7,6,1),'Wage, price statistics'!$DB$8:$DF$84,4)</f>
        <v>9.2336103416434945E-3</v>
      </c>
      <c r="X110" s="55">
        <f>VLOOKUP(DATE(X$7,6,1),'Wage, price statistics'!$DB$8:$DF$84,4)</f>
        <v>1.4638609332113584E-2</v>
      </c>
      <c r="Y110" s="55">
        <f>VLOOKUP(DATE(Y$7,6,1),'Wage, price statistics'!$DB$8:$DF$84,4)</f>
        <v>1.5329125338142457E-2</v>
      </c>
      <c r="Z110" s="55">
        <f>VLOOKUP(DATE(Z$7,6,1),'Wage, price statistics'!$DB$8:$DF$84,4)</f>
        <v>3.4635879218472443E-2</v>
      </c>
      <c r="AA110" s="56">
        <f>VLOOKUP(DATE(AA$7,6,1),'Wage, price statistics'!$DB$8:$DF$84,4)</f>
        <v>3.8117596566523471E-2</v>
      </c>
      <c r="AB110" s="56">
        <f>VLOOKUP(DATE(AB$7,6,1),'Wage, price statistics'!$DB$8:$DF$84,4)</f>
        <v>2.1160528640000065E-2</v>
      </c>
      <c r="AC110" s="56"/>
      <c r="AE110" s="89"/>
    </row>
    <row r="111" spans="2:32">
      <c r="B111" s="9"/>
      <c r="C111" s="9"/>
      <c r="D111" s="9"/>
      <c r="E111" s="9"/>
      <c r="F111" s="9"/>
      <c r="G111" s="9"/>
      <c r="H111" s="9"/>
      <c r="I111" s="9"/>
      <c r="J111" s="9"/>
      <c r="K111" s="9"/>
      <c r="L111" s="9"/>
      <c r="M111" s="9"/>
      <c r="N111" s="9"/>
      <c r="Q111" s="103" t="s">
        <v>121</v>
      </c>
      <c r="S111" s="89">
        <f>VLOOKUP(TEXT(S$7,"0000Q2"),'Wage, price statistics'!$BV$16:$CB$55,5)</f>
        <v>6.9444444444444198E-3</v>
      </c>
      <c r="T111" s="89">
        <f>VLOOKUP(TEXT(T$7,"0000Q2"),'Wage, price statistics'!$BV$16:$CB$55,5)</f>
        <v>9.8522167487684609E-3</v>
      </c>
      <c r="U111" s="89">
        <f>VLOOKUP(TEXT(U$7,"0000Q2"),'Wage, price statistics'!$BV$16:$CB$55,5)</f>
        <v>1.7560975609756113E-2</v>
      </c>
      <c r="V111" s="89">
        <f>VLOOKUP(TEXT(V$7,"0000Q2"),'Wage, price statistics'!$BV$16:$CB$55,5)</f>
        <v>1.0546500479386323E-2</v>
      </c>
      <c r="W111" s="89">
        <f>VLOOKUP(TEXT(W$7,"0000Q2"),'Wage, price statistics'!$BV$16:$CB$55,5)</f>
        <v>1.3282732447817747E-2</v>
      </c>
      <c r="X111" s="89">
        <f>VLOOKUP(TEXT(X$7,"0000Q2"),'Wage, price statistics'!$BV$16:$CB$55,5)</f>
        <v>1.1235955056179803E-2</v>
      </c>
      <c r="Y111" s="55">
        <f>VLOOKUP(TEXT(Y$7,"0000Q2"),'Wage, price statistics'!$BV$16:$CB$55,5)</f>
        <v>2.0370370370370372E-2</v>
      </c>
      <c r="Z111" s="55">
        <f>VLOOKUP(TEXT(Z$7,"0000Q2"),'Wage, price statistics'!$BV$16:$CB$55,5)</f>
        <v>1.244444444444448E-2</v>
      </c>
      <c r="AA111" s="56">
        <f>VLOOKUP(TEXT(AA$7,"0000Q2"),'Wage, price statistics'!$BV$16:$CB$55,5)</f>
        <v>2.5566286215978895E-2</v>
      </c>
      <c r="AB111" s="56">
        <f>VLOOKUP(TEXT(AB$7,"0000Q2"),'Wage, price statistics'!$BV$16:$CB$55,5)</f>
        <v>2.0147472559999713E-2</v>
      </c>
      <c r="AC111" s="56"/>
      <c r="AE111" s="89"/>
      <c r="AF111" s="109" t="s">
        <v>122</v>
      </c>
    </row>
    <row r="112" spans="2:32">
      <c r="B112" s="9"/>
      <c r="C112" s="9"/>
      <c r="D112" s="9"/>
      <c r="E112" s="9"/>
      <c r="F112" s="9"/>
      <c r="G112" s="9"/>
      <c r="H112" s="9"/>
      <c r="I112" s="9"/>
      <c r="J112" s="9"/>
      <c r="K112" s="9"/>
      <c r="L112" s="9"/>
      <c r="M112" s="9"/>
      <c r="N112" s="9"/>
      <c r="Q112" s="103" t="s">
        <v>123</v>
      </c>
      <c r="S112" s="55">
        <f>VLOOKUP(DATE(S$7,6,1),'Wage, price statistics'!$DB$8:$DF$84,5)</f>
        <v>1.870078740157477E-2</v>
      </c>
      <c r="T112" s="55">
        <f>VLOOKUP(DATE(T$7,6,1),'Wage, price statistics'!$DB$8:$DF$84,5)</f>
        <v>2.0289855072463725E-2</v>
      </c>
      <c r="U112" s="55">
        <f>VLOOKUP(DATE(U$7,6,1),'Wage, price statistics'!$DB$8:$DF$84,5)</f>
        <v>1.7045454545454586E-2</v>
      </c>
      <c r="V112" s="55">
        <f>VLOOKUP(DATE(V$7,6,1),'Wage, price statistics'!$DB$8:$DF$84,5)</f>
        <v>1.6759776536312998E-2</v>
      </c>
      <c r="W112" s="55">
        <f>VLOOKUP(DATE(W$7,6,1),'Wage, price statistics'!$DB$8:$DF$84,5)</f>
        <v>1.6483516483516425E-2</v>
      </c>
      <c r="X112" s="55">
        <f>VLOOKUP(DATE(X$7,6,1),'Wage, price statistics'!$DB$8:$DF$84,5)</f>
        <v>1.5315315315315381E-2</v>
      </c>
      <c r="Y112" s="55">
        <f>VLOOKUP(DATE(Y$7,6,1),'Wage, price statistics'!$DB$8:$DF$84,5)</f>
        <v>1.685891748003554E-2</v>
      </c>
      <c r="Z112" s="55">
        <f>VLOOKUP(DATE(Z$7,6,1),'Wage, price statistics'!$DB$8:$DF$84,5)</f>
        <v>1.919720767888311E-2</v>
      </c>
      <c r="AA112" s="56">
        <f>VLOOKUP(DATE(AA$7,6,1),'Wage, price statistics'!$DB$8:$DF$84,5)</f>
        <v>2.1656678082191627E-2</v>
      </c>
      <c r="AB112" s="56">
        <f>VLOOKUP(DATE(AB$7,6,1),'Wage, price statistics'!$DB$8:$DF$84,5)</f>
        <v>2.1160528640000065E-2</v>
      </c>
      <c r="AC112" s="56"/>
      <c r="AE112" s="89"/>
    </row>
    <row r="113" spans="2:51">
      <c r="B113" s="9"/>
      <c r="C113" s="9"/>
      <c r="D113" s="9"/>
      <c r="E113" s="9"/>
      <c r="F113" s="9"/>
      <c r="G113" s="9"/>
      <c r="H113" s="9"/>
      <c r="I113" s="9"/>
      <c r="J113" s="9"/>
      <c r="K113" s="9"/>
      <c r="L113" s="9"/>
      <c r="M113" s="9"/>
      <c r="N113" s="9"/>
      <c r="Q113" s="117" t="s">
        <v>124</v>
      </c>
      <c r="R113" s="116"/>
      <c r="S113" s="118">
        <f>'DHB Stats'!S184</f>
        <v>1.7598578729703496E-2</v>
      </c>
      <c r="T113" s="118">
        <f>'DHB Stats'!T184</f>
        <v>2.8739273737627524E-2</v>
      </c>
      <c r="U113" s="118">
        <f>'DHB Stats'!U184</f>
        <v>1.5284281355858909E-2</v>
      </c>
      <c r="V113" s="118">
        <f>'DHB Stats'!V184</f>
        <v>2.2413714945606289E-2</v>
      </c>
      <c r="W113" s="118">
        <f>'DHB Stats'!W184</f>
        <v>1.62079025519688E-2</v>
      </c>
      <c r="X113" s="118">
        <f>'DHB Stats'!X184</f>
        <v>2.5206559983278254E-2</v>
      </c>
      <c r="Y113" s="55">
        <f>'DHB Stats'!Y184</f>
        <v>1.5821431462964997E-2</v>
      </c>
      <c r="Z113" s="55">
        <f>'DHB Stats'!Z184</f>
        <v>2.4737432636607437E-2</v>
      </c>
      <c r="AA113" s="56">
        <f>'DHB Stats'!AA184</f>
        <v>4.6597556095145931E-2</v>
      </c>
      <c r="AB113" s="56">
        <f>'Notes 2019-20 post-Budget'!E43</f>
        <v>3.3050404160186779E-2</v>
      </c>
      <c r="AC113" s="56"/>
      <c r="AE113" s="89"/>
      <c r="AG113" s="119">
        <f t="shared" ref="AG113:AQ113" si="40">R7</f>
        <v>2010</v>
      </c>
      <c r="AH113" s="119">
        <f t="shared" si="40"/>
        <v>2011</v>
      </c>
      <c r="AI113" s="119">
        <f t="shared" si="40"/>
        <v>2012</v>
      </c>
      <c r="AJ113" s="119">
        <f t="shared" si="40"/>
        <v>2013</v>
      </c>
      <c r="AK113" s="119">
        <f t="shared" si="40"/>
        <v>2014</v>
      </c>
      <c r="AL113" s="119">
        <f t="shared" si="40"/>
        <v>2015</v>
      </c>
      <c r="AM113" s="119">
        <f t="shared" si="40"/>
        <v>2016</v>
      </c>
      <c r="AN113" s="119">
        <f t="shared" si="40"/>
        <v>2017</v>
      </c>
      <c r="AO113" s="119">
        <f t="shared" si="40"/>
        <v>2018</v>
      </c>
      <c r="AP113" s="119">
        <f t="shared" si="40"/>
        <v>2019</v>
      </c>
      <c r="AQ113" s="119">
        <f t="shared" si="40"/>
        <v>2020</v>
      </c>
    </row>
    <row r="114" spans="2:51">
      <c r="B114" s="9"/>
      <c r="C114" s="9"/>
      <c r="D114" s="9"/>
      <c r="E114" s="9"/>
      <c r="F114" s="9"/>
      <c r="G114" s="9"/>
      <c r="H114" s="9"/>
      <c r="I114" s="9"/>
      <c r="J114" s="9"/>
      <c r="K114" s="9"/>
      <c r="L114" s="9"/>
      <c r="M114" s="9"/>
      <c r="N114" s="9"/>
      <c r="Q114" s="117" t="s">
        <v>125</v>
      </c>
      <c r="R114" s="116"/>
      <c r="S114" s="118">
        <f>HLOOKUP(S$7,'DHB Stats'!$P$2:$AA$59,ROW('DHB Stats'!$O$59)-1)</f>
        <v>0.60866039501721747</v>
      </c>
      <c r="T114" s="118">
        <f>HLOOKUP(T$7,'DHB Stats'!$P$2:$AA$59,ROW('DHB Stats'!$O$59)-1)</f>
        <v>0.62170194808373413</v>
      </c>
      <c r="U114" s="118">
        <f>HLOOKUP(U$7,'DHB Stats'!$P$2:$AA$59,ROW('DHB Stats'!$O$59)-1)</f>
        <v>0.62541796308817776</v>
      </c>
      <c r="V114" s="118">
        <f>HLOOKUP(V$7,'DHB Stats'!$P$2:$AA$59,ROW('DHB Stats'!$O$59)-1)</f>
        <v>0.62770278264325929</v>
      </c>
      <c r="W114" s="118">
        <f>HLOOKUP(W$7,'DHB Stats'!$P$2:$AA$59,ROW('DHB Stats'!$O$59)-1)</f>
        <v>0.62516534441323957</v>
      </c>
      <c r="X114" s="118">
        <f>HLOOKUP(X$7,'DHB Stats'!$P$2:$AA$59,ROW('DHB Stats'!$O$59)-1)</f>
        <v>0.63072267959798567</v>
      </c>
      <c r="Y114" s="118">
        <f>HLOOKUP(Y$7,'DHB Stats'!$P$2:$AA$59,ROW('DHB Stats'!$O$59)-1)</f>
        <v>0.63188136020244245</v>
      </c>
      <c r="Z114" s="118">
        <f>HLOOKUP(Z$7,'DHB Stats'!$P$2:$AA$59,ROW('DHB Stats'!$O$59)-1)</f>
        <v>0.62748888853510276</v>
      </c>
      <c r="AA114" s="120">
        <f>HLOOKUP(AA$7,'DHB Stats'!$P$2:$AA$59,ROW('DHB Stats'!$O$59)-1)</f>
        <v>0.63347109938329471</v>
      </c>
      <c r="AB114" s="120">
        <f>AA114</f>
        <v>0.63347109938329471</v>
      </c>
      <c r="AC114" s="120"/>
      <c r="AE114" s="89"/>
      <c r="AG114" t="s">
        <v>126</v>
      </c>
      <c r="AH114" t="s">
        <v>126</v>
      </c>
      <c r="AI114" t="s">
        <v>126</v>
      </c>
      <c r="AJ114" t="s">
        <v>126</v>
      </c>
      <c r="AK114" t="s">
        <v>126</v>
      </c>
      <c r="AL114" t="s">
        <v>126</v>
      </c>
      <c r="AM114" t="s">
        <v>126</v>
      </c>
      <c r="AN114" t="s">
        <v>126</v>
      </c>
      <c r="AO114" t="s">
        <v>126</v>
      </c>
      <c r="AP114" t="s">
        <v>127</v>
      </c>
      <c r="AQ114" t="s">
        <v>127</v>
      </c>
    </row>
    <row r="115" spans="2:51">
      <c r="B115" s="9"/>
      <c r="C115" s="9"/>
      <c r="D115" s="9"/>
      <c r="E115" s="9"/>
      <c r="F115" s="9"/>
      <c r="G115" s="9"/>
      <c r="H115" s="9"/>
      <c r="I115" s="9"/>
      <c r="J115" s="9"/>
      <c r="K115" s="9"/>
      <c r="L115" s="9"/>
      <c r="M115" s="9"/>
      <c r="N115" s="9"/>
      <c r="Q115" s="117" t="s">
        <v>128</v>
      </c>
      <c r="R115" s="116"/>
      <c r="S115" s="118">
        <f>'DHB Stats'!B269</f>
        <v>0.62657587522425973</v>
      </c>
      <c r="T115" s="118">
        <f>'DHB Stats'!C269</f>
        <v>0.63673906923324808</v>
      </c>
      <c r="U115" s="118">
        <f>'DHB Stats'!D269</f>
        <v>0.62781148375923834</v>
      </c>
      <c r="V115" s="118">
        <f>'DHB Stats'!E269</f>
        <v>0.6319814705056982</v>
      </c>
      <c r="W115" s="118">
        <f>'DHB Stats'!F269</f>
        <v>0.62967544874439585</v>
      </c>
      <c r="X115" s="118">
        <f>'DHB Stats'!G269</f>
        <v>0.62119980864379887</v>
      </c>
      <c r="Y115" s="118">
        <f>'DHB Stats'!H269</f>
        <v>0.62862941755940338</v>
      </c>
      <c r="Z115" s="118">
        <f>'DHB Stats'!I269</f>
        <v>0.63992902341469016</v>
      </c>
      <c r="AA115" s="120">
        <f>Z115</f>
        <v>0.63992902341469016</v>
      </c>
      <c r="AB115" s="120">
        <f>AA115</f>
        <v>0.63992902341469016</v>
      </c>
      <c r="AC115" s="120"/>
      <c r="AE115" s="89"/>
      <c r="AF115" t="s">
        <v>129</v>
      </c>
      <c r="AG115" s="95">
        <f>R85</f>
        <v>12348564</v>
      </c>
      <c r="AH115" s="95">
        <f t="shared" ref="AH115:AQ115" si="41">AG115</f>
        <v>12348564</v>
      </c>
      <c r="AI115" s="95">
        <f t="shared" si="41"/>
        <v>12348564</v>
      </c>
      <c r="AJ115" s="95">
        <f t="shared" si="41"/>
        <v>12348564</v>
      </c>
      <c r="AK115" s="95">
        <f t="shared" si="41"/>
        <v>12348564</v>
      </c>
      <c r="AL115" s="95">
        <f t="shared" si="41"/>
        <v>12348564</v>
      </c>
      <c r="AM115" s="95">
        <f t="shared" si="41"/>
        <v>12348564</v>
      </c>
      <c r="AN115" s="95">
        <f t="shared" si="41"/>
        <v>12348564</v>
      </c>
      <c r="AO115" s="95">
        <f t="shared" si="41"/>
        <v>12348564</v>
      </c>
      <c r="AP115" s="95">
        <f t="shared" si="41"/>
        <v>12348564</v>
      </c>
      <c r="AQ115" s="95">
        <f t="shared" si="41"/>
        <v>12348564</v>
      </c>
    </row>
    <row r="116" spans="2:51">
      <c r="B116" s="9"/>
      <c r="C116" s="9"/>
      <c r="D116" s="9"/>
      <c r="E116" s="9"/>
      <c r="F116" s="9"/>
      <c r="G116" s="9"/>
      <c r="H116" s="9"/>
      <c r="I116" s="9"/>
      <c r="J116" s="9"/>
      <c r="K116" s="9"/>
      <c r="L116" s="9"/>
      <c r="M116" s="9"/>
      <c r="N116" s="9"/>
      <c r="Q116" s="121" t="s">
        <v>130</v>
      </c>
      <c r="AE116" s="89"/>
      <c r="AF116" t="s">
        <v>131</v>
      </c>
      <c r="AG116" s="95">
        <f t="shared" ref="AG116:AQ116" si="42">R85</f>
        <v>12348564</v>
      </c>
      <c r="AH116" s="95">
        <f t="shared" si="42"/>
        <v>12798950</v>
      </c>
      <c r="AI116" s="95">
        <f t="shared" si="42"/>
        <v>13268789</v>
      </c>
      <c r="AJ116" s="95">
        <f t="shared" si="42"/>
        <v>13624050</v>
      </c>
      <c r="AK116" s="95">
        <f t="shared" si="42"/>
        <v>14050406</v>
      </c>
      <c r="AL116" s="95">
        <f t="shared" si="42"/>
        <v>14344592</v>
      </c>
      <c r="AM116" s="95">
        <f t="shared" si="42"/>
        <v>14792568</v>
      </c>
      <c r="AN116" s="95">
        <f t="shared" si="42"/>
        <v>15275331</v>
      </c>
      <c r="AO116" s="95">
        <f t="shared" si="42"/>
        <v>16176262</v>
      </c>
      <c r="AP116" s="122">
        <f t="shared" si="42"/>
        <v>17181384</v>
      </c>
      <c r="AQ116" s="122">
        <f t="shared" si="42"/>
        <v>18157282</v>
      </c>
    </row>
    <row r="117" spans="2:51">
      <c r="B117" s="9"/>
      <c r="C117" s="9"/>
      <c r="D117" s="9"/>
      <c r="E117" s="9"/>
      <c r="F117" s="9"/>
      <c r="G117" s="9"/>
      <c r="H117" s="9"/>
      <c r="I117" s="9"/>
      <c r="J117" s="9"/>
      <c r="K117" s="9"/>
      <c r="L117" s="9"/>
      <c r="M117" s="9"/>
      <c r="N117" s="9"/>
      <c r="Q117" s="103" t="s">
        <v>109</v>
      </c>
      <c r="S117" s="55">
        <f>VLOOKUP(TEXT(S$7,"0000Q2"),'Wage, price statistics'!$N$4:$S$58,6)</f>
        <v>3.2201225837320768E-2</v>
      </c>
      <c r="T117" s="55">
        <f>VLOOKUP(TEXT(T$7,"0000Q2"),'Wage, price statistics'!$N$4:$S$58,6)</f>
        <v>9.5073460145087552E-3</v>
      </c>
      <c r="U117" s="55">
        <f>VLOOKUP(TEXT(U$7,"0000Q2"),'Wage, price statistics'!$N$4:$S$58,6)</f>
        <v>6.8493156148901058E-3</v>
      </c>
      <c r="V117" s="55">
        <f>VLOOKUP(TEXT(V$7,"0000Q2"),'Wage, price statistics'!$N$4:$S$58,6)</f>
        <v>1.6156462561985219E-2</v>
      </c>
      <c r="W117" s="55">
        <f>VLOOKUP(TEXT(W$7,"0000Q2"),'Wage, price statistics'!$N$4:$S$58,6)</f>
        <v>4.1840999805606849E-3</v>
      </c>
      <c r="X117" s="55">
        <f>VLOOKUP(TEXT(X$7,"0000Q2"),'Wage, price statistics'!$N$4:$S$58,6)</f>
        <v>4.166667254124734E-3</v>
      </c>
      <c r="Y117" s="55">
        <f>VLOOKUP(TEXT(Y$7,"0000Q2"),'Wage, price statistics'!$N$4:$S$58,6)</f>
        <v>1.7427385490211389E-2</v>
      </c>
      <c r="Z117" s="55">
        <f>VLOOKUP(TEXT(Z$7,"0000Q2"),'Wage, price statistics'!$N$4:$S$58,6)</f>
        <v>1.5000000000000124E-2</v>
      </c>
      <c r="AA117" s="56">
        <f>VLOOKUP(TEXT(AA$7,"0000Q2"),'Wage, price statistics'!$N$4:$S$58,6)</f>
        <v>1.5891625615763516E-2</v>
      </c>
      <c r="AB117" s="56">
        <f>'Health Vote 2019-20 post-Budget'!_CPI19</f>
        <v>0.02</v>
      </c>
      <c r="AC117" s="56"/>
      <c r="AE117" s="89"/>
      <c r="AF117" s="123"/>
    </row>
    <row r="118" spans="2:51">
      <c r="B118" s="9"/>
      <c r="C118" s="9"/>
      <c r="D118" s="9"/>
      <c r="E118" s="9"/>
      <c r="F118" s="9"/>
      <c r="G118" s="9"/>
      <c r="H118" s="9"/>
      <c r="I118" s="9"/>
      <c r="J118" s="9"/>
      <c r="K118" s="9"/>
      <c r="L118" s="9"/>
      <c r="M118" s="9"/>
      <c r="N118" s="9"/>
      <c r="Q118" s="103" t="s">
        <v>132</v>
      </c>
      <c r="S118" s="89">
        <f>VLOOKUP(TEXT(S$7,"0000Q2"),'Wage, price statistics'!$V$4:$AA$55,5)</f>
        <v>4.586639032811668E-2</v>
      </c>
      <c r="T118" s="89">
        <f>VLOOKUP(TEXT(T$7,"0000Q2"),'Wage, price statistics'!$V$4:$AA$55,5)</f>
        <v>2.0725387934360517E-2</v>
      </c>
      <c r="U118" s="89">
        <f>VLOOKUP(TEXT(U$7,"0000Q2"),'Wage, price statistics'!$V$4:$AA$55,5)</f>
        <v>3.97631142334407E-2</v>
      </c>
      <c r="V118" s="89">
        <f>VLOOKUP(TEXT(V$7,"0000Q2"),'Wage, price statistics'!$V$4:$AA$55,5)</f>
        <v>1.7087061833979567E-2</v>
      </c>
      <c r="W118" s="89">
        <f>VLOOKUP(TEXT(W$7,"0000Q2"),'Wage, price statistics'!$V$4:$AA$55,5)</f>
        <v>1.7600000316189357E-2</v>
      </c>
      <c r="X118" s="89">
        <f>VLOOKUP(TEXT(X$7,"0000Q2"),'Wage, price statistics'!$V$4:$AA$55,5)</f>
        <v>0</v>
      </c>
      <c r="Y118" s="55">
        <f>VLOOKUP(TEXT(Y$7,"0000Q2"),'Wage, price statistics'!$V$4:$AA$55,5)</f>
        <v>2.75157233358716E-2</v>
      </c>
      <c r="Z118" s="55">
        <f>VLOOKUP(TEXT(Z$7,"0000Q2"),'Wage, price statistics'!$V$4:$AA$55,5)</f>
        <v>4.0000000000000036E-3</v>
      </c>
      <c r="AA118" s="56">
        <f>AA117</f>
        <v>1.5891625615763516E-2</v>
      </c>
      <c r="AB118" s="56">
        <f>AB117</f>
        <v>0.02</v>
      </c>
      <c r="AC118" s="56"/>
      <c r="AE118" s="89"/>
      <c r="AF118" s="124" t="s">
        <v>133</v>
      </c>
      <c r="AG118" s="125">
        <v>12348564</v>
      </c>
      <c r="AH118" s="125">
        <v>12541317.670188298</v>
      </c>
      <c r="AI118" s="125">
        <v>12692120.466760427</v>
      </c>
      <c r="AJ118" s="125">
        <v>12810633.92696262</v>
      </c>
      <c r="AK118" s="125">
        <v>13071112.569326038</v>
      </c>
      <c r="AL118" s="125">
        <v>13321305.450942978</v>
      </c>
      <c r="AM118" s="125">
        <v>13653578.607804745</v>
      </c>
      <c r="AN118" s="125">
        <v>14053607.856883703</v>
      </c>
      <c r="AO118" s="125">
        <v>14604996.885574561</v>
      </c>
      <c r="AP118" s="125">
        <v>14968267.572587367</v>
      </c>
      <c r="AQ118" s="125">
        <v>15128502.604964415</v>
      </c>
      <c r="AR118" s="95"/>
      <c r="AS118" s="95"/>
      <c r="AT118" s="95"/>
      <c r="AU118" s="95"/>
      <c r="AV118" s="95"/>
      <c r="AW118" s="95"/>
      <c r="AX118" s="95"/>
      <c r="AY118" s="95"/>
    </row>
    <row r="119" spans="2:51">
      <c r="B119" s="9"/>
      <c r="C119" s="9"/>
      <c r="D119" s="9"/>
      <c r="E119" s="9"/>
      <c r="F119" s="9"/>
      <c r="G119" s="9"/>
      <c r="H119" s="9"/>
      <c r="I119" s="9"/>
      <c r="J119" s="9"/>
      <c r="K119" s="9"/>
      <c r="L119" s="9"/>
      <c r="M119" s="9"/>
      <c r="N119" s="9"/>
      <c r="Q119" s="103" t="s">
        <v>134</v>
      </c>
      <c r="S119" s="89">
        <f>VLOOKUP(TEXT(S$7,"0000Q2"),'Wage, price statistics'!$B$3:$D$55,3)</f>
        <v>1.3459787393889533E-2</v>
      </c>
      <c r="T119" s="89">
        <f>VLOOKUP(TEXT(T$7,"0000Q2"),'Wage, price statistics'!$B$3:$D$55,3)</f>
        <v>1.9704433497536922E-2</v>
      </c>
      <c r="U119" s="89">
        <f>VLOOKUP(TEXT(U$7,"0000Q2"),'Wage, price statistics'!$B$3:$D$55,3)</f>
        <v>-1.9323671497584183E-3</v>
      </c>
      <c r="V119" s="89">
        <f>VLOOKUP(TEXT(V$7,"0000Q2"),'Wage, price statistics'!$B$3:$D$55,3)</f>
        <v>9.6805421103580702E-3</v>
      </c>
      <c r="W119" s="89">
        <f>VLOOKUP(TEXT(W$7,"0000Q2"),'Wage, price statistics'!$B$3:$D$55,3)</f>
        <v>6.7114093959732557E-3</v>
      </c>
      <c r="X119" s="89">
        <f>VLOOKUP(TEXT(X$7,"0000Q2"),'Wage, price statistics'!$B$3:$D$55,3)</f>
        <v>5.7142857142857828E-3</v>
      </c>
      <c r="Y119" s="55">
        <f>VLOOKUP(TEXT(Y$7,"0000Q2"),'Wage, price statistics'!$B$3:$D$55,3)</f>
        <v>2.3674242424242431E-2</v>
      </c>
      <c r="Z119" s="55">
        <f>VLOOKUP(TEXT(Z$7,"0000Q2"),'Wage, price statistics'!$B$3:$D$55,3)</f>
        <v>1.9426456984273921E-2</v>
      </c>
      <c r="AA119" s="56">
        <f>AA117</f>
        <v>1.5891625615763516E-2</v>
      </c>
      <c r="AB119" s="56">
        <f>AB118</f>
        <v>0.02</v>
      </c>
      <c r="AC119" s="56"/>
      <c r="AE119" s="89"/>
      <c r="AF119" s="124" t="s">
        <v>135</v>
      </c>
      <c r="AG119" s="125">
        <v>12348564</v>
      </c>
      <c r="AH119" s="125">
        <v>12653781.161624281</v>
      </c>
      <c r="AI119" s="125">
        <v>12913415.166405162</v>
      </c>
      <c r="AJ119" s="125">
        <v>13112736.747815087</v>
      </c>
      <c r="AK119" s="125">
        <v>13380370.448818926</v>
      </c>
      <c r="AL119" s="125">
        <v>13682939.969503824</v>
      </c>
      <c r="AM119" s="125">
        <v>14082587.329488354</v>
      </c>
      <c r="AN119" s="125">
        <v>14571506.663917096</v>
      </c>
      <c r="AO119" s="125">
        <v>15221555.519978223</v>
      </c>
      <c r="AP119" s="125">
        <v>15694788.123674963</v>
      </c>
      <c r="AQ119" s="125">
        <v>15984712.31060362</v>
      </c>
      <c r="AR119" s="95"/>
      <c r="AS119" s="95"/>
      <c r="AT119" s="95"/>
      <c r="AU119" s="95"/>
      <c r="AV119" s="95"/>
      <c r="AW119" s="95"/>
      <c r="AX119" s="95"/>
      <c r="AY119" s="95"/>
    </row>
    <row r="120" spans="2:51">
      <c r="B120" s="9"/>
      <c r="C120" s="9"/>
      <c r="D120" s="9"/>
      <c r="E120" s="9"/>
      <c r="F120" s="9"/>
      <c r="G120" s="9"/>
      <c r="H120" s="9"/>
      <c r="I120" s="9"/>
      <c r="J120" s="9"/>
      <c r="K120" s="9"/>
      <c r="L120" s="9"/>
      <c r="M120" s="9"/>
      <c r="N120" s="9"/>
      <c r="Q120" s="103" t="s">
        <v>136</v>
      </c>
      <c r="S120" s="89">
        <f>VLOOKUP(TEXT(S$7,"0000Q2"),'Wage, price statistics'!$F$3:$L$44,3)</f>
        <v>1.1011011011011096E-2</v>
      </c>
      <c r="T120" s="89">
        <f>VLOOKUP(TEXT(T$7,"0000Q2"),'Wage, price statistics'!$F$3:$L$44,3)</f>
        <v>1.7821782178217838E-2</v>
      </c>
      <c r="U120" s="89">
        <f>VLOOKUP(TEXT(U$7,"0000Q2"),'Wage, price statistics'!$F$3:$L$44,3)</f>
        <v>-1.0700389105058328E-2</v>
      </c>
      <c r="V120" s="89">
        <f>VLOOKUP(TEXT(V$7,"0000Q2"),'Wage, price statistics'!$F$3:$L$44,3)</f>
        <v>4.9164208456244918E-3</v>
      </c>
      <c r="W120" s="89">
        <f>VLOOKUP(TEXT(W$7,"0000Q2"),'Wage, price statistics'!$F$3:$L$44,3)</f>
        <v>3.9138943248533398E-3</v>
      </c>
      <c r="X120" s="89">
        <f>VLOOKUP(TEXT(X$7,"0000Q2"),'Wage, price statistics'!$F$3:$L$44,3)</f>
        <v>5.8479532163742132E-3</v>
      </c>
      <c r="Y120" s="55">
        <f>VLOOKUP(TEXT(Y$7,"0000Q2"),'Wage, price statistics'!$F$3:$L$55,3)</f>
        <v>2.2286821705426396E-2</v>
      </c>
      <c r="Z120" s="55">
        <f>VLOOKUP(TEXT(Z$7,"0000Q2"),'Wage, price statistics'!$F$3:$L$55,3)</f>
        <v>1.3270142180094702E-2</v>
      </c>
      <c r="AA120" s="56">
        <f>AA117</f>
        <v>1.5891625615763516E-2</v>
      </c>
      <c r="AB120" s="56">
        <f>AB119</f>
        <v>0.02</v>
      </c>
      <c r="AC120" s="56"/>
      <c r="AE120" s="89"/>
      <c r="AF120" s="124" t="s">
        <v>137</v>
      </c>
      <c r="AG120" s="125">
        <v>12348564</v>
      </c>
      <c r="AH120" s="125">
        <v>12859979.521011764</v>
      </c>
      <c r="AI120" s="125">
        <v>13331467.264426528</v>
      </c>
      <c r="AJ120" s="125">
        <v>13617330.477723595</v>
      </c>
      <c r="AK120" s="125">
        <v>14077473.893609688</v>
      </c>
      <c r="AL120" s="125">
        <v>14591496.276521048</v>
      </c>
      <c r="AM120" s="125">
        <v>15197892.973815735</v>
      </c>
      <c r="AN120" s="125">
        <v>15923140.64589693</v>
      </c>
      <c r="AO120" s="125">
        <v>16959753.91502212</v>
      </c>
      <c r="AP120" s="125">
        <v>17972233.029149413</v>
      </c>
      <c r="AQ120" s="125">
        <v>18756467.479041569</v>
      </c>
      <c r="AR120" s="95"/>
      <c r="AS120" s="95"/>
      <c r="AT120" s="95"/>
      <c r="AU120" s="95"/>
      <c r="AV120" s="95"/>
      <c r="AW120" s="95"/>
      <c r="AX120" s="95"/>
      <c r="AY120" s="95"/>
    </row>
    <row r="121" spans="2:51">
      <c r="B121" s="9"/>
      <c r="C121" s="9"/>
      <c r="D121" s="9"/>
      <c r="E121" s="9"/>
      <c r="F121" s="9"/>
      <c r="G121" s="9"/>
      <c r="H121" s="9"/>
      <c r="I121" s="9"/>
      <c r="J121" s="9"/>
      <c r="K121" s="9"/>
      <c r="L121" s="9"/>
      <c r="M121" s="9"/>
      <c r="N121" s="9"/>
      <c r="Q121" s="103" t="s">
        <v>138</v>
      </c>
      <c r="S121" s="89">
        <f>VLOOKUP(TEXT(S$7,"0000Q2"),'Wage, price statistics'!$F$3:$L$44,5)</f>
        <v>7.9286422200197659E-3</v>
      </c>
      <c r="T121" s="89">
        <f>VLOOKUP(TEXT(T$7,"0000Q2"),'Wage, price statistics'!$F$3:$L$44,5)</f>
        <v>1.8682399213372669E-2</v>
      </c>
      <c r="U121" s="89">
        <f>VLOOKUP(TEXT(U$7,"0000Q2"),'Wage, price statistics'!$F$3:$L$44,5)</f>
        <v>9.6525096525090781E-4</v>
      </c>
      <c r="V121" s="89">
        <f>VLOOKUP(TEXT(V$7,"0000Q2"),'Wage, price statistics'!$F$3:$L$44,5)</f>
        <v>1.4464802314368308E-2</v>
      </c>
      <c r="W121" s="89">
        <f>VLOOKUP(TEXT(W$7,"0000Q2"),'Wage, price statistics'!$F$3:$L$44,5)</f>
        <v>1.0456273764258617E-2</v>
      </c>
      <c r="X121" s="89">
        <f>VLOOKUP(TEXT(X$7,"0000Q2"),'Wage, price statistics'!$F$3:$L$44,5)</f>
        <v>3.7629350893697566E-3</v>
      </c>
      <c r="Y121" s="55">
        <f>VLOOKUP(TEXT(Y$7,"0000Q2"),'Wage, price statistics'!$F$3:$L$55,5)</f>
        <v>2.4367385192127555E-2</v>
      </c>
      <c r="Z121" s="55">
        <f>VLOOKUP(TEXT(Z$7,"0000Q2"),'Wage, price statistics'!$F$3:$L$55,5)</f>
        <v>2.2872827081427349E-2</v>
      </c>
      <c r="AA121" s="56">
        <f>AA117</f>
        <v>1.5891625615763516E-2</v>
      </c>
      <c r="AB121" s="56">
        <f>AB120</f>
        <v>0.02</v>
      </c>
      <c r="AC121" s="56"/>
      <c r="AE121" s="89"/>
      <c r="AF121" s="124" t="s">
        <v>139</v>
      </c>
      <c r="AG121" s="125">
        <v>12348564</v>
      </c>
      <c r="AH121" s="125">
        <v>13014416.507375432</v>
      </c>
      <c r="AI121" s="125">
        <v>13544001.420804841</v>
      </c>
      <c r="AJ121" s="125">
        <v>13870715.431998817</v>
      </c>
      <c r="AK121" s="125">
        <v>14419620.076379919</v>
      </c>
      <c r="AL121" s="125">
        <v>14969406.442038016</v>
      </c>
      <c r="AM121" s="125">
        <v>15614999.257415382</v>
      </c>
      <c r="AN121" s="125">
        <v>16460213.804376341</v>
      </c>
      <c r="AO121" s="125">
        <v>17621299.518788144</v>
      </c>
      <c r="AP121" s="125">
        <v>18774042.721133374</v>
      </c>
      <c r="AQ121" s="125">
        <v>19736993.883007035</v>
      </c>
      <c r="AR121" s="95"/>
      <c r="AS121" s="95"/>
      <c r="AT121" s="95"/>
      <c r="AU121" s="95"/>
      <c r="AV121" s="95"/>
      <c r="AW121" s="95"/>
      <c r="AX121" s="95"/>
      <c r="AY121" s="95"/>
    </row>
    <row r="122" spans="2:51">
      <c r="B122" s="9"/>
      <c r="C122" s="9"/>
      <c r="D122" s="9"/>
      <c r="E122" s="9"/>
      <c r="F122" s="9"/>
      <c r="G122" s="9"/>
      <c r="H122" s="9"/>
      <c r="I122" s="9"/>
      <c r="J122" s="9"/>
      <c r="K122" s="9"/>
      <c r="L122" s="9"/>
      <c r="M122" s="9"/>
      <c r="N122" s="9"/>
      <c r="Q122" s="103" t="s">
        <v>140</v>
      </c>
      <c r="S122" s="89">
        <f>VLOOKUP(TEXT(S$7,"0000Q2"),'Wage, price statistics'!$F$3:$L$44,7)</f>
        <v>2.2088353413654671E-2</v>
      </c>
      <c r="T122" s="89">
        <f>VLOOKUP(TEXT(T$7,"0000Q2"),'Wage, price statistics'!$F$3:$L$44,7)</f>
        <v>2.5540275049115824E-2</v>
      </c>
      <c r="U122" s="89">
        <f>VLOOKUP(TEXT(U$7,"0000Q2"),'Wage, price statistics'!$F$3:$L$44,7)</f>
        <v>1.0536398467432928E-2</v>
      </c>
      <c r="V122" s="89">
        <f>VLOOKUP(TEXT(V$7,"0000Q2"),'Wage, price statistics'!$F$3:$L$44,7)</f>
        <v>8.5308056872037685E-3</v>
      </c>
      <c r="W122" s="89">
        <f>VLOOKUP(TEXT(W$7,"0000Q2"),'Wage, price statistics'!$F$3:$L$44,7)</f>
        <v>6.5789473684210176E-3</v>
      </c>
      <c r="X122" s="89">
        <f>VLOOKUP(TEXT(X$7,"0000Q2"),'Wage, price statistics'!$F$3:$L$44,7)</f>
        <v>8.4033613445377853E-3</v>
      </c>
      <c r="Y122" s="55">
        <f>VLOOKUP(TEXT(Y$7,"0000Q2"),'Wage, price statistics'!$F$3:$L$55,7)</f>
        <v>1.8518518518518601E-2</v>
      </c>
      <c r="Z122" s="55">
        <f>VLOOKUP(TEXT(Z$7,"0000Q2"),'Wage, price statistics'!$F$3:$L$55,7)</f>
        <v>2.3636363636363678E-2</v>
      </c>
      <c r="AA122" s="56">
        <f>AA117</f>
        <v>1.5891625615763516E-2</v>
      </c>
      <c r="AB122" s="56">
        <f>AB121</f>
        <v>0.02</v>
      </c>
      <c r="AC122" s="56"/>
      <c r="AE122" s="89"/>
      <c r="AF122" s="124" t="s">
        <v>141</v>
      </c>
      <c r="AG122" s="125">
        <v>12348564</v>
      </c>
      <c r="AH122" s="125">
        <v>13014416.507375432</v>
      </c>
      <c r="AI122" s="125">
        <v>13544001.420804841</v>
      </c>
      <c r="AJ122" s="125">
        <v>13870715.431998817</v>
      </c>
      <c r="AK122" s="125">
        <v>14419620.076379919</v>
      </c>
      <c r="AL122" s="125">
        <v>14969406.442038016</v>
      </c>
      <c r="AM122" s="125">
        <v>15614999.257415382</v>
      </c>
      <c r="AN122" s="125">
        <v>16460213.804376341</v>
      </c>
      <c r="AO122" s="125">
        <v>17621299.518788144</v>
      </c>
      <c r="AP122" s="125">
        <v>18774042.721133374</v>
      </c>
      <c r="AQ122" s="125">
        <v>19736993.883007035</v>
      </c>
      <c r="AR122" s="95"/>
      <c r="AS122" s="95"/>
      <c r="AT122" s="95"/>
      <c r="AU122" s="95"/>
      <c r="AV122" s="95"/>
      <c r="AW122" s="95"/>
      <c r="AX122" s="95"/>
      <c r="AY122" s="95"/>
    </row>
    <row r="123" spans="2:51">
      <c r="B123" s="9"/>
      <c r="C123" s="9"/>
      <c r="D123" s="9"/>
      <c r="E123" s="9"/>
      <c r="F123" s="9"/>
      <c r="G123" s="9"/>
      <c r="H123" s="9"/>
      <c r="I123" s="9"/>
      <c r="J123" s="9"/>
      <c r="K123" s="9"/>
      <c r="L123" s="9"/>
      <c r="M123" s="9"/>
      <c r="N123" s="9"/>
      <c r="Q123" s="121" t="s">
        <v>142</v>
      </c>
      <c r="R123" s="89"/>
      <c r="S123" s="89"/>
      <c r="T123" s="89"/>
      <c r="U123" s="89"/>
      <c r="V123" s="89"/>
      <c r="W123" s="89"/>
      <c r="X123" s="89"/>
      <c r="Y123" s="89"/>
      <c r="Z123" s="89"/>
      <c r="AA123" s="89"/>
      <c r="AB123" s="89"/>
      <c r="AC123" s="126" t="s">
        <v>143</v>
      </c>
      <c r="AE123" s="89"/>
      <c r="AG123" s="95"/>
      <c r="AH123" s="95"/>
      <c r="AI123" s="95"/>
      <c r="AJ123" s="95"/>
      <c r="AK123" s="95"/>
      <c r="AL123" s="95"/>
      <c r="AM123" s="95"/>
      <c r="AN123" s="95"/>
      <c r="AO123" s="95"/>
      <c r="AP123" s="95"/>
      <c r="AQ123" s="95"/>
    </row>
    <row r="124" spans="2:51">
      <c r="B124" s="9"/>
      <c r="C124" s="9"/>
      <c r="D124" s="9"/>
      <c r="E124" s="9"/>
      <c r="F124" s="9"/>
      <c r="G124" s="9"/>
      <c r="H124" s="9"/>
      <c r="I124" s="9"/>
      <c r="J124" s="9"/>
      <c r="K124" s="9"/>
      <c r="L124" s="9"/>
      <c r="M124" s="9"/>
      <c r="N124" s="9"/>
      <c r="Q124" s="103" t="s">
        <v>144</v>
      </c>
      <c r="S124" s="89">
        <f>(Demographics!DM3/Demographics!DL3-1)*(1-ZeroPop)</f>
        <v>7.6539759301994525E-3</v>
      </c>
      <c r="T124" s="89">
        <f>(Demographics!DN3/Demographics!DM3-1)*(1-ZeroPop)</f>
        <v>5.490444755678725E-3</v>
      </c>
      <c r="U124" s="89">
        <f>(Demographics!DO3/Demographics!DN3-1)*(1-ZeroPop)</f>
        <v>7.7222354555870343E-3</v>
      </c>
      <c r="V124" s="89">
        <f>(Demographics!DP3/Demographics!DO3-1)*(1-ZeroPop)</f>
        <v>1.5231568923637306E-2</v>
      </c>
      <c r="W124" s="89">
        <f>Demographics!Z29*(1-ZeroPop)</f>
        <v>1.719686517224428E-2</v>
      </c>
      <c r="X124" s="89">
        <f>Demographics!AA29*(1-ZeroPop)</f>
        <v>2.0110972237171287E-2</v>
      </c>
      <c r="Y124" s="89">
        <f>Demographics!AB29*(1-ZeroPop)</f>
        <v>2.132300612935345E-2</v>
      </c>
      <c r="Z124" s="89">
        <f>Demographics!AC29*(1-ZeroPop)</f>
        <v>2.0239001321928685E-2</v>
      </c>
      <c r="AA124" s="56">
        <f>Demographics!AD29*(1-ZeroPop)</f>
        <v>1.7798892967959556E-2</v>
      </c>
      <c r="AB124" s="56">
        <f>Demographics!AE29*(1-ZeroPop)</f>
        <v>1.5371980195708179E-2</v>
      </c>
      <c r="AC124" s="127"/>
      <c r="AE124" s="89"/>
      <c r="AF124" t="s">
        <v>145</v>
      </c>
      <c r="AG124" s="95">
        <f>AG115</f>
        <v>12348564</v>
      </c>
      <c r="AH124" s="95">
        <f t="shared" ref="AH124:AO124" si="43">AH115</f>
        <v>12348564</v>
      </c>
      <c r="AI124" s="95">
        <f t="shared" si="43"/>
        <v>12348564</v>
      </c>
      <c r="AJ124" s="95">
        <f t="shared" si="43"/>
        <v>12348564</v>
      </c>
      <c r="AK124" s="95">
        <f t="shared" si="43"/>
        <v>12348564</v>
      </c>
      <c r="AL124" s="95">
        <f t="shared" si="43"/>
        <v>12348564</v>
      </c>
      <c r="AM124" s="95">
        <f t="shared" si="43"/>
        <v>12348564</v>
      </c>
      <c r="AN124" s="95">
        <f t="shared" si="43"/>
        <v>12348564</v>
      </c>
      <c r="AO124" s="95">
        <f t="shared" si="43"/>
        <v>12348564</v>
      </c>
      <c r="AP124" s="95">
        <f>AP115</f>
        <v>12348564</v>
      </c>
      <c r="AQ124" s="95">
        <f>AQ115</f>
        <v>12348564</v>
      </c>
    </row>
    <row r="125" spans="2:51">
      <c r="B125" s="9"/>
      <c r="C125" s="9"/>
      <c r="D125" s="9"/>
      <c r="E125" s="9"/>
      <c r="F125" s="9"/>
      <c r="G125" s="9"/>
      <c r="H125" s="9"/>
      <c r="I125" s="9"/>
      <c r="J125" s="9"/>
      <c r="K125" s="9"/>
      <c r="L125" s="9"/>
      <c r="M125" s="9"/>
      <c r="N125" s="9"/>
      <c r="Q125" s="103" t="s">
        <v>146</v>
      </c>
      <c r="S125" s="89">
        <f>(VLOOKUP(S$7,Demographics!$V$8:$W$35,2)-(Demographics!DM3/Demographics!DL3-1))*(1-ZeroAging)</f>
        <v>9.5857861537664638E-3</v>
      </c>
      <c r="T125" s="89">
        <f>(VLOOKUP(T$7,Demographics!$V$8:$W$35,2)-(Demographics!DN3/Demographics!DM3-1))*(1-ZeroAging)</f>
        <v>8.9945661388768847E-3</v>
      </c>
      <c r="U125" s="89">
        <f>(VLOOKUP(U$7,Demographics!$V$8:$W$35,2)-(Demographics!DO3/Demographics!DN3-1))*(1-ZeroAging)</f>
        <v>6.4377570715770643E-3</v>
      </c>
      <c r="V125" s="89">
        <f>(VLOOKUP(V$7,Demographics!$V$8:$W$35,2)-(Demographics!DP3/Demographics!DO3-1))*(1-ZeroAging)</f>
        <v>2.0479830082595699E-4</v>
      </c>
      <c r="W125" s="89">
        <f>Demographics!Z30*(1-ZeroAging)</f>
        <v>3.6986380186141421E-3</v>
      </c>
      <c r="X125" s="89">
        <f>Demographics!AA30*(1-ZeroAging)</f>
        <v>4.6155697274077312E-3</v>
      </c>
      <c r="Y125" s="89">
        <f>Demographics!AB30*(1-ZeroAging)</f>
        <v>5.9446757823859997E-3</v>
      </c>
      <c r="Z125" s="89">
        <f>Demographics!AC30*(1-ZeroAging)</f>
        <v>6.3479236130579153E-3</v>
      </c>
      <c r="AA125" s="56">
        <f>Demographics!AD30*(1-ZeroAging)</f>
        <v>6.8227440050774302E-3</v>
      </c>
      <c r="AB125" s="56">
        <f>Demographics!AE30*(1-ZeroAging)</f>
        <v>7.906702136782684E-3</v>
      </c>
      <c r="AC125" s="128"/>
      <c r="AE125" s="89"/>
      <c r="AF125" t="s">
        <v>142</v>
      </c>
      <c r="AH125" s="95">
        <f t="shared" ref="AH125:AO125" si="44">AH118-AH115</f>
        <v>192753.67018829845</v>
      </c>
      <c r="AI125" s="95">
        <f t="shared" si="44"/>
        <v>343556.46676042676</v>
      </c>
      <c r="AJ125" s="95">
        <f t="shared" si="44"/>
        <v>462069.92696261965</v>
      </c>
      <c r="AK125" s="95">
        <f t="shared" si="44"/>
        <v>722548.56932603754</v>
      </c>
      <c r="AL125" s="95">
        <f t="shared" si="44"/>
        <v>972741.45094297826</v>
      </c>
      <c r="AM125" s="95">
        <f t="shared" si="44"/>
        <v>1305014.6078047454</v>
      </c>
      <c r="AN125" s="95">
        <f t="shared" si="44"/>
        <v>1705043.8568837028</v>
      </c>
      <c r="AO125" s="95">
        <f t="shared" si="44"/>
        <v>2256432.8855745606</v>
      </c>
      <c r="AP125" s="95">
        <f>AP118-AP115</f>
        <v>2619703.5725873671</v>
      </c>
      <c r="AQ125" s="95">
        <f>AQ118-AQ115</f>
        <v>2779938.6049644146</v>
      </c>
    </row>
    <row r="126" spans="2:51">
      <c r="B126" s="9"/>
      <c r="C126" s="9"/>
      <c r="D126" s="9"/>
      <c r="E126" s="9"/>
      <c r="F126" s="9"/>
      <c r="G126" s="9"/>
      <c r="H126" s="9"/>
      <c r="I126" s="9"/>
      <c r="J126" s="9"/>
      <c r="K126" s="9"/>
      <c r="L126" s="9"/>
      <c r="M126" s="9"/>
      <c r="N126" s="9"/>
      <c r="Q126" s="103" t="s">
        <v>147</v>
      </c>
      <c r="S126" s="89">
        <f t="shared" ref="S126:AA126" si="45">SUM(S124:S125)*(1-ZeroCostWeightedDemog)</f>
        <v>1.7239762083965916E-2</v>
      </c>
      <c r="T126" s="89">
        <f t="shared" si="45"/>
        <v>1.448501089455561E-2</v>
      </c>
      <c r="U126" s="89">
        <f t="shared" si="45"/>
        <v>1.4159992527164099E-2</v>
      </c>
      <c r="V126" s="89">
        <f t="shared" si="45"/>
        <v>1.5436367224463263E-2</v>
      </c>
      <c r="W126" s="89">
        <f t="shared" si="45"/>
        <v>2.0895503190858422E-2</v>
      </c>
      <c r="X126" s="89">
        <f t="shared" si="45"/>
        <v>2.4726541964579019E-2</v>
      </c>
      <c r="Y126" s="89">
        <f t="shared" si="45"/>
        <v>2.726768191173945E-2</v>
      </c>
      <c r="Z126" s="89">
        <f>SUM(Z124:Z125)*(1-ZeroCostWeightedDemog)</f>
        <v>2.65869249349866E-2</v>
      </c>
      <c r="AA126" s="56">
        <f t="shared" si="45"/>
        <v>2.4621636973036987E-2</v>
      </c>
      <c r="AB126" s="56">
        <f>SUM(AB124:AB125)*(1-ZeroCostWeightedDemog)</f>
        <v>2.3278682332490863E-2</v>
      </c>
      <c r="AC126" s="128"/>
      <c r="AE126" s="89"/>
      <c r="AF126" t="s">
        <v>148</v>
      </c>
      <c r="AH126" s="95">
        <f t="shared" ref="AH126:AQ129" si="46">AH119-AH118</f>
        <v>112463.49143598229</v>
      </c>
      <c r="AI126" s="95">
        <f t="shared" si="46"/>
        <v>221294.69964473508</v>
      </c>
      <c r="AJ126" s="95">
        <f t="shared" si="46"/>
        <v>302102.82085246779</v>
      </c>
      <c r="AK126" s="95">
        <f t="shared" si="46"/>
        <v>309257.87949288823</v>
      </c>
      <c r="AL126" s="95">
        <f t="shared" si="46"/>
        <v>361634.5185608454</v>
      </c>
      <c r="AM126" s="95">
        <f t="shared" si="46"/>
        <v>429008.72168360837</v>
      </c>
      <c r="AN126" s="95">
        <f t="shared" si="46"/>
        <v>517898.80703339353</v>
      </c>
      <c r="AO126" s="95">
        <f t="shared" si="46"/>
        <v>616558.63440366276</v>
      </c>
      <c r="AP126" s="95">
        <f t="shared" si="46"/>
        <v>726520.55108759552</v>
      </c>
      <c r="AQ126" s="95">
        <f t="shared" si="46"/>
        <v>856209.70563920587</v>
      </c>
    </row>
    <row r="127" spans="2:51">
      <c r="B127" s="9"/>
      <c r="C127" s="9"/>
      <c r="D127" s="9"/>
      <c r="E127" s="9"/>
      <c r="F127" s="9"/>
      <c r="G127" s="9"/>
      <c r="H127" s="9"/>
      <c r="I127" s="9"/>
      <c r="J127" s="9"/>
      <c r="K127" s="9"/>
      <c r="L127" s="9"/>
      <c r="M127" s="9"/>
      <c r="N127" s="9"/>
      <c r="Q127" s="103" t="s">
        <v>149</v>
      </c>
      <c r="S127" s="89">
        <f>VLOOKUP(S$7,Demographics!$BC$6:$BD$30,2)*(1-ZeroBirths)</f>
        <v>-2.3233121137493651E-2</v>
      </c>
      <c r="T127" s="89">
        <f>VLOOKUP(T$7,Demographics!$BC$6:$BD$30,2)*(1-ZeroBirths)</f>
        <v>-2.5974025974025983E-2</v>
      </c>
      <c r="U127" s="89">
        <f>VLOOKUP(U$7,Demographics!$BC$6:$BD$30,2)*(1-ZeroBirths)</f>
        <v>-1.9291819291819334E-2</v>
      </c>
      <c r="V127" s="89">
        <f>VLOOKUP(V$7,Demographics!$BC$6:$BD$30,2)*(1-ZeroBirths)</f>
        <v>-2.1215139442231079E-2</v>
      </c>
      <c r="W127" s="89">
        <f>VLOOKUP(W$7,Demographics!$BC$6:$BD$30,2)*(1-ZeroBirths)</f>
        <v>1.6586954309555368E-2</v>
      </c>
      <c r="X127" s="89">
        <f>VLOOKUP(X$7,Demographics!$BC$6:$BD$30,2)*(1-ZeroBirths)</f>
        <v>-1.0610610610610638E-2</v>
      </c>
      <c r="Y127" s="55">
        <f>VLOOKUP(Y$7,Demographics!$BC$6:$BD$30,2)*(1-ZeroBirths)</f>
        <v>-1.1179684338324614E-2</v>
      </c>
      <c r="Z127" s="55">
        <f>VLOOKUP(Z$7,Demographics!$BC$6:$BD$30,2)*(1-ZeroBirths)</f>
        <v>3.6885455568629544E-2</v>
      </c>
      <c r="AA127" s="56">
        <f>VLOOKUP(AA$7,Demographics!$BC$6:$BD$30,2)*(1-ZeroBirths)</f>
        <v>9.8019867114005343E-3</v>
      </c>
      <c r="AB127" s="56">
        <f>VLOOKUP(AB$7,Demographics!$BC$6:$BD$30,2)*(1-ZeroBirths)</f>
        <v>9.7719869706840434E-3</v>
      </c>
      <c r="AC127" s="128"/>
      <c r="AE127" s="89"/>
      <c r="AF127" t="s">
        <v>150</v>
      </c>
      <c r="AH127" s="95">
        <f t="shared" si="46"/>
        <v>206198.35938748345</v>
      </c>
      <c r="AI127" s="95">
        <f t="shared" si="46"/>
        <v>418052.0980213657</v>
      </c>
      <c r="AJ127" s="95">
        <f t="shared" si="46"/>
        <v>504593.72990850732</v>
      </c>
      <c r="AK127" s="95">
        <f t="shared" si="46"/>
        <v>697103.44479076192</v>
      </c>
      <c r="AL127" s="95">
        <f t="shared" si="46"/>
        <v>908556.30701722391</v>
      </c>
      <c r="AM127" s="95">
        <f t="shared" si="46"/>
        <v>1115305.6443273816</v>
      </c>
      <c r="AN127" s="95">
        <f t="shared" si="46"/>
        <v>1351633.9819798339</v>
      </c>
      <c r="AO127" s="95">
        <f t="shared" si="46"/>
        <v>1738198.3950438965</v>
      </c>
      <c r="AP127" s="95">
        <f t="shared" si="46"/>
        <v>2277444.9054744504</v>
      </c>
      <c r="AQ127" s="95">
        <f t="shared" si="46"/>
        <v>2771755.1684379485</v>
      </c>
    </row>
    <row r="128" spans="2:51">
      <c r="B128" s="9"/>
      <c r="C128" s="9"/>
      <c r="D128" s="9"/>
      <c r="E128" s="9"/>
      <c r="F128" s="9"/>
      <c r="G128" s="9"/>
      <c r="H128" s="9"/>
      <c r="I128" s="9"/>
      <c r="J128" s="9"/>
      <c r="K128" s="9"/>
      <c r="L128" s="9"/>
      <c r="M128" s="9"/>
      <c r="N128" s="9"/>
      <c r="Q128" s="103" t="s">
        <v>151</v>
      </c>
      <c r="S128" s="89">
        <f>VLOOKUP(S$7,Demographics!$CH$6:$CI$31,2)*(1-ZeroChildPop)</f>
        <v>-8.1612666285812985E-5</v>
      </c>
      <c r="T128" s="89">
        <f>VLOOKUP(T$7,Demographics!$CH$6:$CI$31,2)*(1-ZeroChildPop)</f>
        <v>-2.0404831864185846E-3</v>
      </c>
      <c r="U128" s="89">
        <f>VLOOKUP(U$7,Demographics!$CH$6:$CI$31,2)*(1-ZeroChildPop)</f>
        <v>-1.2267931626728235E-3</v>
      </c>
      <c r="V128" s="89">
        <f>VLOOKUP(V$7,Demographics!$CH$6:$CI$31,2)*(1-ZeroChildPop)</f>
        <v>2.866033409760993E-3</v>
      </c>
      <c r="W128" s="89">
        <f>VLOOKUP(W$7,Demographics!$CH$6:$CI$31,2)*(1-ZeroChildPop)</f>
        <v>5.2257695762227829E-3</v>
      </c>
      <c r="X128" s="89">
        <f>VLOOKUP(X$7,Demographics!$CH$6:$CI$31,2)*(1-ZeroChildPop)</f>
        <v>7.2293071237103934E-3</v>
      </c>
      <c r="Y128" s="89">
        <f>VLOOKUP(Y$7,Demographics!$CH$6:$CI$31,2)*(1-ZeroChildPop)</f>
        <v>8.2258064516129714E-3</v>
      </c>
      <c r="Z128" s="89">
        <f>VLOOKUP(Z$7,Demographics!$CH$6:$CI$31,2)*(1-ZeroChildPop)</f>
        <v>6.9588865781475828E-3</v>
      </c>
      <c r="AA128" s="56">
        <f>VLOOKUP(AA$7,Demographics!$CH$6:$CI$31,2)*(1-ZeroChildPop)</f>
        <v>7.2056183167295007E-3</v>
      </c>
      <c r="AB128" s="56">
        <f>VLOOKUP(AB$7,Demographics!$CH$6:$CI$31,2)*(1-ZeroChildPop)</f>
        <v>3.9674714665447475E-3</v>
      </c>
      <c r="AC128" s="128"/>
      <c r="AE128" s="89"/>
      <c r="AF128" t="s">
        <v>152</v>
      </c>
      <c r="AH128" s="95">
        <f t="shared" si="46"/>
        <v>154436.98636366799</v>
      </c>
      <c r="AI128" s="95">
        <f t="shared" si="46"/>
        <v>212534.1563783139</v>
      </c>
      <c r="AJ128" s="95">
        <f t="shared" si="46"/>
        <v>253384.9542752225</v>
      </c>
      <c r="AK128" s="95">
        <f t="shared" si="46"/>
        <v>342146.18277023174</v>
      </c>
      <c r="AL128" s="95">
        <f t="shared" si="46"/>
        <v>377910.16551696882</v>
      </c>
      <c r="AM128" s="95">
        <f t="shared" si="46"/>
        <v>417106.28359964676</v>
      </c>
      <c r="AN128" s="95">
        <f t="shared" si="46"/>
        <v>537073.15847941115</v>
      </c>
      <c r="AO128" s="95">
        <f t="shared" si="46"/>
        <v>661545.60376602411</v>
      </c>
      <c r="AP128" s="95">
        <f t="shared" si="46"/>
        <v>801809.69198396057</v>
      </c>
      <c r="AQ128" s="95">
        <f t="shared" si="46"/>
        <v>980526.40396546572</v>
      </c>
    </row>
    <row r="129" spans="2:44">
      <c r="B129" s="9"/>
      <c r="C129" s="9"/>
      <c r="D129" s="9"/>
      <c r="E129" s="9"/>
      <c r="F129" s="9"/>
      <c r="G129" s="9"/>
      <c r="H129" s="9"/>
      <c r="I129" s="9"/>
      <c r="J129" s="9"/>
      <c r="K129" s="9"/>
      <c r="L129" s="9"/>
      <c r="M129" s="9"/>
      <c r="N129" s="9"/>
      <c r="Q129" s="103" t="s">
        <v>153</v>
      </c>
      <c r="S129" s="56"/>
      <c r="T129" s="56"/>
      <c r="U129" s="56"/>
      <c r="V129" s="56"/>
      <c r="W129" s="89">
        <f>VLOOKUP(W7,Demographics!$EE$10:$EG$28,3)*(1-ZeroMaoriPop)</f>
        <v>2.5929928582818063E-2</v>
      </c>
      <c r="X129" s="89">
        <f>VLOOKUP(X7,Demographics!$EE$10:$EG$28,3)*(1-ZeroMaoriPop)</f>
        <v>2.7637741000294591E-2</v>
      </c>
      <c r="Y129" s="55">
        <f>VLOOKUP(Y7,Demographics!$EE$10:$EG$28,3)*(1-ZeroMaoriPop)</f>
        <v>2.7717277966983644E-2</v>
      </c>
      <c r="Z129" s="55">
        <f>VLOOKUP(Z7,Demographics!$EE$10:$EG$28,3)*(1-ZeroMaoriPop)</f>
        <v>2.6346526009634275E-2</v>
      </c>
      <c r="AA129" s="56">
        <f>VLOOKUP(AA7,Demographics!$EE$10:$EG$28,3)*(1-ZeroMaoriPop)</f>
        <v>2.6534083242832018E-2</v>
      </c>
      <c r="AB129" s="56">
        <f>VLOOKUP(AB7,Demographics!$EE$10:$EG$28,3)*(1-ZeroMaoriPop)</f>
        <v>2.5909571024273603E-2</v>
      </c>
      <c r="AC129" s="128"/>
      <c r="AE129" s="89"/>
      <c r="AF129" t="s">
        <v>154</v>
      </c>
      <c r="AH129" s="95">
        <f t="shared" si="46"/>
        <v>0</v>
      </c>
      <c r="AI129" s="95">
        <f t="shared" si="46"/>
        <v>0</v>
      </c>
      <c r="AJ129" s="95">
        <f t="shared" si="46"/>
        <v>0</v>
      </c>
      <c r="AK129" s="95">
        <f t="shared" si="46"/>
        <v>0</v>
      </c>
      <c r="AL129" s="95">
        <f t="shared" si="46"/>
        <v>0</v>
      </c>
      <c r="AM129" s="95">
        <f t="shared" si="46"/>
        <v>0</v>
      </c>
      <c r="AN129" s="95">
        <f t="shared" si="46"/>
        <v>0</v>
      </c>
      <c r="AO129" s="95">
        <f t="shared" si="46"/>
        <v>0</v>
      </c>
      <c r="AP129" s="95">
        <f t="shared" si="46"/>
        <v>0</v>
      </c>
      <c r="AQ129" s="95">
        <f t="shared" si="46"/>
        <v>0</v>
      </c>
    </row>
    <row r="130" spans="2:44">
      <c r="B130" s="9"/>
      <c r="C130" s="9"/>
      <c r="D130" s="9"/>
      <c r="E130" s="9"/>
      <c r="F130" s="9"/>
      <c r="G130" s="9"/>
      <c r="H130" s="9"/>
      <c r="I130" s="9"/>
      <c r="J130" s="9"/>
      <c r="K130" s="9"/>
      <c r="L130" s="9"/>
      <c r="M130" s="9"/>
      <c r="N130" s="9"/>
      <c r="Q130" s="103" t="s">
        <v>155</v>
      </c>
      <c r="S130" s="89">
        <f>9.47721046899237%*(1-ZeroMentalHealthClients)</f>
        <v>9.4772104689923697E-2</v>
      </c>
      <c r="T130" s="89">
        <f>5.05494339850168%*(1-ZeroMentalHealthClients)</f>
        <v>5.0549433985016802E-2</v>
      </c>
      <c r="U130" s="89">
        <f>8.59823945935476%*(1-ZeroMentalHealthClients)</f>
        <v>8.5982394593547604E-2</v>
      </c>
      <c r="V130" s="89">
        <f>3.02693989720824%*(1-ZeroMentalHealthClients)</f>
        <v>3.0269398972082404E-2</v>
      </c>
      <c r="W130" s="89">
        <f>0.148759906640339%*(1-ZeroMentalHealthClients)</f>
        <v>1.48759906640339E-3</v>
      </c>
      <c r="X130" s="89">
        <f>5.77929035104305%*(1-ZeroMentalHealthClients)</f>
        <v>5.7792903510430503E-2</v>
      </c>
      <c r="Y130" s="56">
        <f>5%*(1-ZeroMentalHealthClients)</f>
        <v>0.05</v>
      </c>
      <c r="Z130" s="56">
        <f>5%*(1-ZeroMentalHealthClients)</f>
        <v>0.05</v>
      </c>
      <c r="AA130" s="56">
        <f>5%*(1-ZeroMentalHealthClients)</f>
        <v>0.05</v>
      </c>
      <c r="AB130" s="56">
        <f>5%*(1-ZeroMentalHealthClients)</f>
        <v>0.05</v>
      </c>
      <c r="AC130" s="129"/>
      <c r="AE130" s="89"/>
      <c r="AF130" t="s">
        <v>156</v>
      </c>
      <c r="AG130" s="95">
        <f>SUM(AG124:AG129)</f>
        <v>12348564</v>
      </c>
      <c r="AH130" s="95">
        <f t="shared" ref="AH130:AO130" si="47">SUM(AH124:AH129)</f>
        <v>13014416.507375432</v>
      </c>
      <c r="AI130" s="95">
        <f t="shared" si="47"/>
        <v>13544001.420804841</v>
      </c>
      <c r="AJ130" s="95">
        <f t="shared" si="47"/>
        <v>13870715.431998817</v>
      </c>
      <c r="AK130" s="95">
        <f t="shared" si="47"/>
        <v>14419620.076379919</v>
      </c>
      <c r="AL130" s="95">
        <f t="shared" si="47"/>
        <v>14969406.442038016</v>
      </c>
      <c r="AM130" s="95">
        <f t="shared" si="47"/>
        <v>15614999.257415382</v>
      </c>
      <c r="AN130" s="95">
        <f t="shared" si="47"/>
        <v>16460213.804376341</v>
      </c>
      <c r="AO130" s="95">
        <f t="shared" si="47"/>
        <v>17621299.518788144</v>
      </c>
      <c r="AP130" s="95">
        <f>SUM(AP124:AP129)</f>
        <v>18774042.721133374</v>
      </c>
      <c r="AQ130" s="95">
        <f>SUM(AQ124:AQ129)</f>
        <v>19736993.883007035</v>
      </c>
      <c r="AR130" s="130"/>
    </row>
    <row r="131" spans="2:44">
      <c r="B131" s="9"/>
      <c r="C131" s="9"/>
      <c r="D131" s="9"/>
      <c r="E131" s="9"/>
      <c r="F131" s="9"/>
      <c r="G131" s="9"/>
      <c r="H131" s="9"/>
      <c r="I131" s="9"/>
      <c r="J131" s="9"/>
      <c r="K131" s="9"/>
      <c r="L131" s="9"/>
      <c r="M131" s="9"/>
      <c r="N131" s="9"/>
      <c r="Q131" s="121" t="s">
        <v>157</v>
      </c>
      <c r="S131" s="89"/>
      <c r="T131" s="89"/>
      <c r="U131" s="89"/>
      <c r="V131" s="89"/>
      <c r="W131" s="89"/>
      <c r="X131" s="56"/>
      <c r="Y131" s="131"/>
      <c r="Z131" s="131"/>
      <c r="AA131" s="131"/>
      <c r="AB131" s="131"/>
      <c r="AC131" s="132"/>
      <c r="AE131" s="89"/>
      <c r="AF131" s="123"/>
      <c r="AG131" s="133"/>
      <c r="AH131" s="133"/>
      <c r="AI131" s="133"/>
      <c r="AJ131" s="133"/>
      <c r="AK131" s="133"/>
      <c r="AL131" s="133"/>
      <c r="AM131" s="133"/>
      <c r="AN131" s="133"/>
      <c r="AO131" s="133"/>
      <c r="AP131" s="133"/>
      <c r="AQ131" s="133"/>
    </row>
    <row r="132" spans="2:44">
      <c r="B132" s="9"/>
      <c r="C132" s="9"/>
      <c r="D132" s="9"/>
      <c r="E132" s="9"/>
      <c r="F132" s="9"/>
      <c r="G132" s="9"/>
      <c r="H132" s="9"/>
      <c r="I132" s="9"/>
      <c r="J132" s="9"/>
      <c r="K132" s="9"/>
      <c r="L132" s="9"/>
      <c r="M132" s="9"/>
      <c r="N132" s="9"/>
      <c r="Q132" s="103" t="s">
        <v>158</v>
      </c>
      <c r="S132" s="101">
        <f>101393*(1-ZeroNetInitiatives)</f>
        <v>101393</v>
      </c>
      <c r="T132" s="101">
        <f>85556*(1-ZeroNetInitiatives)</f>
        <v>85556</v>
      </c>
      <c r="U132" s="101">
        <f>24364*(1-ZeroNetInitiatives)</f>
        <v>24364</v>
      </c>
      <c r="V132" s="101">
        <f>51989*(1-ZeroNetInitiatives)</f>
        <v>51989</v>
      </c>
      <c r="W132" s="101">
        <f>34027*(1-ZeroNetInitiatives)</f>
        <v>34027</v>
      </c>
      <c r="X132" s="101">
        <f>73974*(1-ZeroNetInitiatives)</f>
        <v>73974</v>
      </c>
      <c r="Y132" s="134">
        <f>117083*(1-ZeroNetInitiatives)</f>
        <v>117083</v>
      </c>
      <c r="Z132" s="134">
        <f>268324*(1-ZeroNetInitiatives)</f>
        <v>268324</v>
      </c>
      <c r="AA132" s="100">
        <f>72232*(1-ZeroNetInitiatives)</f>
        <v>72232</v>
      </c>
      <c r="AB132" s="100">
        <f>136318*(1-ZeroNetInitiatives)</f>
        <v>136318</v>
      </c>
      <c r="AC132" s="135"/>
      <c r="AE132" s="89"/>
    </row>
    <row r="133" spans="2:44">
      <c r="B133" s="9"/>
      <c r="C133" s="9"/>
      <c r="D133" s="9"/>
      <c r="E133" s="9"/>
      <c r="F133" s="9"/>
      <c r="G133" s="9"/>
      <c r="H133" s="9"/>
      <c r="I133" s="9"/>
      <c r="J133" s="9"/>
      <c r="K133" s="9"/>
      <c r="L133" s="9"/>
      <c r="M133" s="9"/>
      <c r="N133" s="9"/>
      <c r="Q133" s="103" t="s">
        <v>159</v>
      </c>
      <c r="S133" s="89"/>
      <c r="T133" s="89"/>
      <c r="U133" s="89"/>
      <c r="V133" s="89"/>
      <c r="W133" s="89"/>
      <c r="X133" s="89"/>
      <c r="Y133" s="89"/>
      <c r="Z133" s="89"/>
      <c r="AA133" s="89"/>
      <c r="AB133" s="100">
        <f>('2019 Health appropriations'!D108-'2019 Health appropriations'!D32)*(1-ZeroExplicitWageRises)</f>
        <v>149204</v>
      </c>
      <c r="AC133" s="136"/>
      <c r="AF133" t="s">
        <v>160</v>
      </c>
      <c r="AG133" s="95"/>
      <c r="AH133" s="95">
        <f t="shared" ref="AH133:AP133" si="48">AH116-AH115</f>
        <v>450386</v>
      </c>
      <c r="AI133" s="95">
        <f t="shared" si="48"/>
        <v>920225</v>
      </c>
      <c r="AJ133" s="95">
        <f t="shared" si="48"/>
        <v>1275486</v>
      </c>
      <c r="AK133" s="95">
        <f t="shared" si="48"/>
        <v>1701842</v>
      </c>
      <c r="AL133" s="95">
        <f t="shared" si="48"/>
        <v>1996028</v>
      </c>
      <c r="AM133" s="95">
        <f t="shared" si="48"/>
        <v>2444004</v>
      </c>
      <c r="AN133" s="95">
        <f t="shared" si="48"/>
        <v>2926767</v>
      </c>
      <c r="AO133" s="95">
        <f t="shared" si="48"/>
        <v>3827698</v>
      </c>
      <c r="AP133" s="95">
        <f t="shared" si="48"/>
        <v>4832820</v>
      </c>
      <c r="AQ133" s="95">
        <f>AQ116-AQ115</f>
        <v>5808718</v>
      </c>
    </row>
    <row r="134" spans="2:44">
      <c r="B134" s="9"/>
      <c r="C134" s="9"/>
      <c r="D134" s="9"/>
      <c r="E134" s="9"/>
      <c r="F134" s="9"/>
      <c r="G134" s="9"/>
      <c r="H134" s="9"/>
      <c r="I134" s="9"/>
      <c r="J134" s="9"/>
      <c r="K134" s="9"/>
      <c r="L134" s="9"/>
      <c r="M134" s="9"/>
      <c r="N134" s="9"/>
      <c r="Q134" s="103"/>
      <c r="S134" s="89"/>
      <c r="T134" s="89"/>
      <c r="U134" s="89"/>
      <c r="V134" s="89"/>
      <c r="W134" s="89"/>
      <c r="X134" s="89"/>
      <c r="Y134" s="89"/>
      <c r="Z134" s="89"/>
      <c r="AA134" s="89"/>
      <c r="AB134" s="89"/>
      <c r="AC134" s="137"/>
      <c r="AF134" t="s">
        <v>161</v>
      </c>
      <c r="AH134" s="95">
        <f>SUM(AH125:AH129)-AH133</f>
        <v>215466.50737543218</v>
      </c>
      <c r="AI134" s="95">
        <f t="shared" ref="AI134:AP134" si="49">SUM(AI125:AI129)-AI133</f>
        <v>275212.42080484144</v>
      </c>
      <c r="AJ134" s="95">
        <f t="shared" si="49"/>
        <v>246665.43199881725</v>
      </c>
      <c r="AK134" s="95">
        <f t="shared" si="49"/>
        <v>369214.07637991942</v>
      </c>
      <c r="AL134" s="95">
        <f t="shared" si="49"/>
        <v>624814.44203801639</v>
      </c>
      <c r="AM134" s="95">
        <f t="shared" si="49"/>
        <v>822431.25741538219</v>
      </c>
      <c r="AN134" s="95">
        <f t="shared" si="49"/>
        <v>1184882.8043763414</v>
      </c>
      <c r="AO134" s="95">
        <f t="shared" si="49"/>
        <v>1445037.518788144</v>
      </c>
      <c r="AP134" s="95">
        <f t="shared" si="49"/>
        <v>1592658.7211333737</v>
      </c>
      <c r="AQ134" s="95">
        <f>SUM(AQ125:AQ129)-AQ133</f>
        <v>1579711.8830070347</v>
      </c>
      <c r="AR134" s="95"/>
    </row>
    <row r="135" spans="2:44">
      <c r="B135" s="9"/>
      <c r="C135" s="9"/>
      <c r="D135" s="9"/>
      <c r="E135" s="9"/>
      <c r="F135" s="9"/>
      <c r="G135" s="9"/>
      <c r="H135" s="9"/>
      <c r="I135" s="9"/>
      <c r="J135" s="9"/>
      <c r="K135" s="9"/>
      <c r="L135" s="9"/>
      <c r="M135" s="9"/>
      <c r="N135" s="9"/>
      <c r="Q135" s="121" t="s">
        <v>162</v>
      </c>
      <c r="AC135" s="138"/>
    </row>
    <row r="136" spans="2:44">
      <c r="B136" s="9"/>
      <c r="C136" s="9"/>
      <c r="D136" s="9"/>
      <c r="E136" s="9"/>
      <c r="F136" s="9"/>
      <c r="G136" s="9"/>
      <c r="H136" s="9"/>
      <c r="I136" s="9"/>
      <c r="J136" s="9"/>
      <c r="K136" s="9"/>
      <c r="L136" s="9"/>
      <c r="M136" s="9"/>
      <c r="N136" s="9"/>
      <c r="Q136" s="103" t="s">
        <v>163</v>
      </c>
      <c r="S136" s="89">
        <f t="shared" ref="S136:Z136" si="50">CHOOSE(MATCH(ProviderWageSector,WageSelection,0),S$113,S$104,S$105,S$106,S$109,S$110,S$111,S$112)*(1-ZeroDHBProviderWage)</f>
        <v>1.7598578729703496E-2</v>
      </c>
      <c r="T136" s="89">
        <f t="shared" si="50"/>
        <v>2.8739273737627524E-2</v>
      </c>
      <c r="U136" s="89">
        <f t="shared" si="50"/>
        <v>1.5284281355858909E-2</v>
      </c>
      <c r="V136" s="89">
        <f t="shared" si="50"/>
        <v>2.2413714945606289E-2</v>
      </c>
      <c r="W136" s="89">
        <f t="shared" si="50"/>
        <v>1.62079025519688E-2</v>
      </c>
      <c r="X136" s="89">
        <f t="shared" si="50"/>
        <v>2.5206559983278254E-2</v>
      </c>
      <c r="Y136" s="55">
        <f t="shared" si="50"/>
        <v>1.5821431462964997E-2</v>
      </c>
      <c r="Z136" s="55">
        <f t="shared" si="50"/>
        <v>2.4737432636607437E-2</v>
      </c>
      <c r="AA136" s="56">
        <f>CHOOSE(MATCH(ProviderWageSector,WageSelection,0),AA$113,AA$104,AA$105,AA$106,AA$109,AA$110,AA$111,AA$112)*(1-ZeroDHBProviderWage)</f>
        <v>4.6597556095145931E-2</v>
      </c>
      <c r="AB136" s="56">
        <f>CHOOSE(MATCH(ProviderWageSector,WageSelection,0),AB$113,AB$104,AB$105,AB$106,AB$109,AB$110,AB$111,AB$112)*(1-ZeroDHBProviderWage)</f>
        <v>3.3050404160186779E-2</v>
      </c>
      <c r="AC136" s="127"/>
    </row>
    <row r="137" spans="2:44">
      <c r="B137" s="9"/>
      <c r="C137" s="9"/>
      <c r="D137" s="9"/>
      <c r="E137" s="9"/>
      <c r="F137" s="9"/>
      <c r="G137" s="9"/>
      <c r="H137" s="9"/>
      <c r="I137" s="9"/>
      <c r="J137" s="9"/>
      <c r="K137" s="9"/>
      <c r="L137" s="9"/>
      <c r="M137" s="9"/>
      <c r="N137" s="9"/>
      <c r="Q137" s="103" t="s">
        <v>164</v>
      </c>
      <c r="S137" s="89">
        <f>('DHB Stats'!S7*S139+(1-'DHB Stats'!S7)*S138)*(1-ZeroDHBFunderArmWage)</f>
        <v>3.8129507255674128E-2</v>
      </c>
      <c r="T137" s="89">
        <f>('DHB Stats'!T7*T139+(1-'DHB Stats'!T7)*T138)*(1-ZeroDHBFunderArmWage)</f>
        <v>2.279848699644945E-2</v>
      </c>
      <c r="U137" s="89">
        <f>('DHB Stats'!U7*U139+(1-'DHB Stats'!U7)*U138)*(1-ZeroDHBFunderArmWage)</f>
        <v>1.1823822279954099E-3</v>
      </c>
      <c r="V137" s="89">
        <f>('DHB Stats'!V7*V139+(1-'DHB Stats'!V7)*V138)*(1-ZeroDHBFunderArmWage)</f>
        <v>2.0291918408558738E-2</v>
      </c>
      <c r="W137" s="89">
        <f>('DHB Stats'!W7*W139+(1-'DHB Stats'!W7)*W138)*(1-ZeroDHBFunderArmWage)</f>
        <v>2.7786346465027464E-2</v>
      </c>
      <c r="X137" s="89">
        <f>('DHB Stats'!X7*X139+(1-'DHB Stats'!X7)*X138)*(1-ZeroDHBFunderArmWage)</f>
        <v>1.2170959854374254E-2</v>
      </c>
      <c r="Y137" s="55">
        <f>('DHB Stats'!Y7*Y139+(1-'DHB Stats'!Y7)*Y138)*(1-ZeroDHBFunderArmWage)</f>
        <v>2.6179301782337322E-2</v>
      </c>
      <c r="Z137" s="55">
        <f>Z138*(1-ZeroDHBFunderArmWage)</f>
        <v>4.5173870653233639E-2</v>
      </c>
      <c r="AA137" s="56">
        <f>AA138*(1-ZeroDHBFunderArmWage)</f>
        <v>4.3749999999999956E-2</v>
      </c>
      <c r="AB137" s="56">
        <f>AB138*(1-ZeroDHBFunderArmWage)</f>
        <v>4.3749999999999956E-2</v>
      </c>
      <c r="AC137" s="128"/>
    </row>
    <row r="138" spans="2:44">
      <c r="B138" s="9"/>
      <c r="C138" s="9"/>
      <c r="D138" s="9"/>
      <c r="E138" s="9"/>
      <c r="F138" s="9"/>
      <c r="G138" s="9"/>
      <c r="H138" s="9"/>
      <c r="I138" s="9"/>
      <c r="J138" s="9"/>
      <c r="K138" s="9"/>
      <c r="L138" s="9"/>
      <c r="M138" s="9"/>
      <c r="N138" s="9"/>
      <c r="Q138" s="103" t="s">
        <v>165</v>
      </c>
      <c r="S138" s="89">
        <f t="shared" ref="S138:AB138" si="51">CHOOSE(MATCH(NonProviderWageSector,WageSelection,0),S$113,S$104,S$105,S$106,S$109,S$110,S$111,S$112)*(1-ZeroNonDHBProviderWage)</f>
        <v>4.1976225854383209E-2</v>
      </c>
      <c r="T138" s="89">
        <f t="shared" si="51"/>
        <v>2.3529411764705799E-2</v>
      </c>
      <c r="U138" s="89">
        <f t="shared" si="51"/>
        <v>-7.3145245559038674E-3</v>
      </c>
      <c r="V138" s="89">
        <f t="shared" si="51"/>
        <v>2.0701754385964888E-2</v>
      </c>
      <c r="W138" s="89">
        <f t="shared" si="51"/>
        <v>2.5782055689240302E-2</v>
      </c>
      <c r="X138" s="89">
        <f t="shared" si="51"/>
        <v>6.7024128686326012E-3</v>
      </c>
      <c r="Y138" s="55">
        <f t="shared" si="51"/>
        <v>2.4300932090545846E-2</v>
      </c>
      <c r="Z138" s="55">
        <f t="shared" si="51"/>
        <v>4.5173870653233639E-2</v>
      </c>
      <c r="AA138" s="56">
        <f t="shared" si="51"/>
        <v>4.3749999999999956E-2</v>
      </c>
      <c r="AB138" s="56">
        <f t="shared" si="51"/>
        <v>4.3749999999999956E-2</v>
      </c>
      <c r="AC138" s="128"/>
    </row>
    <row r="139" spans="2:44">
      <c r="B139" s="9"/>
      <c r="C139" s="9"/>
      <c r="D139" s="9"/>
      <c r="E139" s="9"/>
      <c r="F139" s="9"/>
      <c r="G139" s="9"/>
      <c r="H139" s="9"/>
      <c r="I139" s="9"/>
      <c r="J139" s="9"/>
      <c r="K139" s="9"/>
      <c r="L139" s="9"/>
      <c r="M139" s="9"/>
      <c r="N139" s="9"/>
      <c r="Q139" s="139" t="s">
        <v>166</v>
      </c>
      <c r="S139" s="55">
        <f t="shared" ref="S139:Y139" si="52">(MinWageProportion*S$107+(1-MinWageProportion)*S138)*(1-ZeroWageInHighMinWageSectors)</f>
        <v>2.4395245170876656E-2</v>
      </c>
      <c r="T139" s="55">
        <f t="shared" si="52"/>
        <v>2.0392156862745023E-2</v>
      </c>
      <c r="U139" s="55">
        <f t="shared" si="52"/>
        <v>2.9306325858050066E-2</v>
      </c>
      <c r="V139" s="55">
        <f t="shared" si="52"/>
        <v>1.8955165692007857E-2</v>
      </c>
      <c r="W139" s="55">
        <f t="shared" si="52"/>
        <v>3.4247320228757164E-2</v>
      </c>
      <c r="X139" s="55">
        <f t="shared" si="52"/>
        <v>2.94106580123231E-2</v>
      </c>
      <c r="Y139" s="55">
        <f t="shared" si="52"/>
        <v>3.1978830485905704E-2</v>
      </c>
      <c r="Z139" s="55">
        <f>(MinWageProportion*Z$107+(1-MinWageProportion)*Z138)*(1-ZeroWageInHighMinWageSectors)</f>
        <v>3.5264282327368071E-2</v>
      </c>
      <c r="AA139" s="56">
        <f>(MinWageProportion*AA$107+(1-MinWageProportion)*AA138)*(1-ZeroWageInHighMinWageSectors)</f>
        <v>4.6845238095238127E-2</v>
      </c>
      <c r="AB139" s="56">
        <f>(MinWageProportion*AB$107+(1-MinWageProportion)*AB138)*(1-ZeroWageInHighMinWageSectors)</f>
        <v>6.693181818181819E-2</v>
      </c>
      <c r="AC139" s="128"/>
    </row>
    <row r="140" spans="2:44">
      <c r="B140" s="9"/>
      <c r="C140" s="9"/>
      <c r="D140" s="9"/>
      <c r="E140" s="9"/>
      <c r="F140" s="9"/>
      <c r="G140" s="9"/>
      <c r="H140" s="9"/>
      <c r="I140" s="9"/>
      <c r="J140" s="9"/>
      <c r="K140" s="9"/>
      <c r="L140" s="9"/>
      <c r="M140" s="9"/>
      <c r="N140" s="9"/>
      <c r="Q140" s="140" t="s">
        <v>108</v>
      </c>
      <c r="S140" s="89">
        <f t="shared" ref="S140:AB140" si="53">CHOOSE(MATCH(ProviderPriceIndex,PriceIndexSelection,0),S$117,S$118,S$119,S$120,S$121,S$122)*(1-ZeroProviderPrices)</f>
        <v>3.2201225837320768E-2</v>
      </c>
      <c r="T140" s="89">
        <f t="shared" si="53"/>
        <v>9.5073460145087552E-3</v>
      </c>
      <c r="U140" s="89">
        <f t="shared" si="53"/>
        <v>6.8493156148901058E-3</v>
      </c>
      <c r="V140" s="89">
        <f t="shared" si="53"/>
        <v>1.6156462561985219E-2</v>
      </c>
      <c r="W140" s="89">
        <f t="shared" si="53"/>
        <v>4.1840999805606849E-3</v>
      </c>
      <c r="X140" s="89">
        <f t="shared" si="53"/>
        <v>4.166667254124734E-3</v>
      </c>
      <c r="Y140" s="55">
        <f t="shared" si="53"/>
        <v>1.7427385490211389E-2</v>
      </c>
      <c r="Z140" s="55">
        <f t="shared" si="53"/>
        <v>1.5000000000000124E-2</v>
      </c>
      <c r="AA140" s="56">
        <f t="shared" si="53"/>
        <v>1.5891625615763516E-2</v>
      </c>
      <c r="AB140" s="56">
        <f t="shared" si="53"/>
        <v>0.02</v>
      </c>
      <c r="AC140" s="128"/>
    </row>
    <row r="141" spans="2:44">
      <c r="B141" s="9"/>
      <c r="C141" s="9"/>
      <c r="D141" s="9"/>
      <c r="E141" s="9"/>
      <c r="F141" s="9"/>
      <c r="G141" s="9"/>
      <c r="H141" s="9"/>
      <c r="I141" s="9"/>
      <c r="J141" s="9"/>
      <c r="K141" s="9"/>
      <c r="L141" s="9"/>
      <c r="M141" s="9"/>
      <c r="N141" s="9"/>
      <c r="Q141" s="140" t="s">
        <v>167</v>
      </c>
      <c r="S141" s="89">
        <f t="shared" ref="S141:Y141" si="54">S122*(1-ZeroResidentialCarePrices)</f>
        <v>2.2088353413654671E-2</v>
      </c>
      <c r="T141" s="89">
        <f t="shared" si="54"/>
        <v>2.5540275049115824E-2</v>
      </c>
      <c r="U141" s="89">
        <f t="shared" si="54"/>
        <v>1.0536398467432928E-2</v>
      </c>
      <c r="V141" s="89">
        <f t="shared" si="54"/>
        <v>8.5308056872037685E-3</v>
      </c>
      <c r="W141" s="89">
        <f t="shared" si="54"/>
        <v>6.5789473684210176E-3</v>
      </c>
      <c r="X141" s="89">
        <f t="shared" si="54"/>
        <v>8.4033613445377853E-3</v>
      </c>
      <c r="Y141" s="55">
        <f t="shared" si="54"/>
        <v>1.8518518518518601E-2</v>
      </c>
      <c r="Z141" s="55">
        <f>Z122*(1-ZeroResidentialCarePrices)</f>
        <v>2.3636363636363678E-2</v>
      </c>
      <c r="AA141" s="56">
        <f>AA122*(1-ZeroResidentialCarePrices)</f>
        <v>1.5891625615763516E-2</v>
      </c>
      <c r="AB141" s="56">
        <f>AB122*(1-ZeroResidentialCarePrices)</f>
        <v>0.02</v>
      </c>
      <c r="AC141" s="128"/>
    </row>
    <row r="142" spans="2:44">
      <c r="B142" s="6"/>
      <c r="C142" s="9"/>
      <c r="D142" s="9"/>
      <c r="E142" s="9"/>
      <c r="F142" s="9"/>
      <c r="G142" s="9"/>
      <c r="H142" s="9"/>
      <c r="I142" s="9"/>
      <c r="J142" s="9"/>
      <c r="K142" s="9"/>
      <c r="L142" s="9"/>
      <c r="M142" s="9"/>
      <c r="N142" s="9"/>
      <c r="Q142" s="140" t="s">
        <v>110</v>
      </c>
      <c r="S142" s="89">
        <f t="shared" ref="S142:AB142" si="55">CHOOSE(MATCH(NonProviderPriceIndex,PriceIndexSelection,0),S$117,S$118,S$119,S$120,S$121,S$122)*(1-ZeroNonProviderPrices)</f>
        <v>3.2201225837320768E-2</v>
      </c>
      <c r="T142" s="89">
        <f t="shared" si="55"/>
        <v>9.5073460145087552E-3</v>
      </c>
      <c r="U142" s="89">
        <f t="shared" si="55"/>
        <v>6.8493156148901058E-3</v>
      </c>
      <c r="V142" s="89">
        <f t="shared" si="55"/>
        <v>1.6156462561985219E-2</v>
      </c>
      <c r="W142" s="89">
        <f t="shared" si="55"/>
        <v>4.1840999805606849E-3</v>
      </c>
      <c r="X142" s="89">
        <f t="shared" si="55"/>
        <v>4.166667254124734E-3</v>
      </c>
      <c r="Y142" s="55">
        <f t="shared" si="55"/>
        <v>1.7427385490211389E-2</v>
      </c>
      <c r="Z142" s="55">
        <f t="shared" si="55"/>
        <v>1.5000000000000124E-2</v>
      </c>
      <c r="AA142" s="56">
        <f t="shared" si="55"/>
        <v>1.5891625615763516E-2</v>
      </c>
      <c r="AB142" s="56">
        <f t="shared" si="55"/>
        <v>0.02</v>
      </c>
      <c r="AC142" s="129"/>
    </row>
    <row r="143" spans="2:44">
      <c r="B143" s="9"/>
      <c r="C143" s="9"/>
      <c r="D143" s="9"/>
      <c r="E143" s="9"/>
      <c r="F143" s="9"/>
      <c r="G143" s="9"/>
      <c r="H143" s="9"/>
      <c r="I143" s="9"/>
      <c r="J143" s="9"/>
      <c r="K143" s="9"/>
      <c r="L143" s="9"/>
      <c r="M143" s="9"/>
      <c r="N143" s="9"/>
      <c r="Q143" s="140"/>
      <c r="S143" s="89"/>
    </row>
    <row r="144" spans="2:44">
      <c r="B144" s="9"/>
      <c r="C144" s="9"/>
      <c r="D144" s="9"/>
      <c r="E144" s="9"/>
      <c r="F144" s="9"/>
      <c r="G144" s="9"/>
      <c r="H144" s="9"/>
      <c r="I144" s="9"/>
      <c r="J144" s="9"/>
      <c r="K144" s="9"/>
      <c r="L144" s="9"/>
      <c r="M144" s="9"/>
      <c r="N144" s="9"/>
      <c r="R144" s="53"/>
      <c r="S144" s="53"/>
      <c r="T144" s="53"/>
      <c r="U144" s="53"/>
      <c r="V144" s="53"/>
      <c r="W144" s="53"/>
      <c r="X144" s="53"/>
      <c r="Y144" s="53"/>
      <c r="Z144" s="53"/>
      <c r="AA144" s="53"/>
      <c r="AB144" s="53"/>
    </row>
    <row r="145" spans="2:29">
      <c r="B145" s="9"/>
      <c r="C145" s="9"/>
      <c r="D145" s="9"/>
      <c r="E145" s="9"/>
      <c r="F145" s="9"/>
      <c r="G145" s="9"/>
      <c r="H145" s="9"/>
      <c r="I145" s="9"/>
      <c r="J145" s="9"/>
      <c r="K145" s="9"/>
      <c r="L145" s="9"/>
      <c r="M145" s="9"/>
      <c r="N145" s="9"/>
      <c r="Q145" s="6" t="s">
        <v>168</v>
      </c>
      <c r="R145" s="53"/>
      <c r="S145" s="53"/>
      <c r="T145" s="53"/>
      <c r="U145" s="53"/>
      <c r="V145" s="53"/>
      <c r="W145" s="53"/>
      <c r="X145" s="53"/>
      <c r="Y145" s="53"/>
      <c r="Z145" s="53"/>
      <c r="AA145" s="53"/>
      <c r="AB145" s="53"/>
    </row>
    <row r="146" spans="2:29">
      <c r="B146" s="9"/>
      <c r="C146" s="9"/>
      <c r="D146" s="9"/>
      <c r="E146" s="9"/>
      <c r="F146" s="9"/>
      <c r="G146" s="9"/>
      <c r="H146" s="9"/>
      <c r="I146" s="9"/>
      <c r="J146" s="9"/>
      <c r="K146" s="9"/>
      <c r="L146" s="9"/>
      <c r="M146" s="9"/>
      <c r="N146" s="9"/>
      <c r="Q146" s="141" t="s">
        <v>105</v>
      </c>
      <c r="R146" s="53"/>
      <c r="S146" s="53"/>
      <c r="T146" s="53"/>
      <c r="U146" s="53"/>
      <c r="V146" s="53"/>
      <c r="W146" s="53"/>
      <c r="X146" s="53"/>
      <c r="Y146" s="53"/>
      <c r="Z146" s="53"/>
      <c r="AA146" s="53"/>
      <c r="AB146" s="53"/>
    </row>
    <row r="147" spans="2:29">
      <c r="B147" s="9"/>
      <c r="C147" s="9"/>
      <c r="D147" s="9"/>
      <c r="E147" s="9"/>
      <c r="F147" s="9"/>
      <c r="G147" s="9"/>
      <c r="H147" s="9"/>
      <c r="I147" s="9"/>
      <c r="J147" s="9"/>
      <c r="K147" s="9"/>
      <c r="L147" s="9"/>
      <c r="M147" s="9"/>
      <c r="N147" s="9"/>
      <c r="Q147" s="142" t="s">
        <v>107</v>
      </c>
      <c r="S147" s="89"/>
      <c r="T147" s="89"/>
      <c r="U147" s="89"/>
      <c r="V147" s="89"/>
      <c r="W147" s="89"/>
      <c r="X147" s="89"/>
      <c r="Y147" s="89"/>
      <c r="Z147" s="89"/>
      <c r="AA147" s="89"/>
      <c r="AB147" s="89"/>
    </row>
    <row r="148" spans="2:29">
      <c r="Q148" s="142" t="s">
        <v>169</v>
      </c>
    </row>
    <row r="149" spans="2:29">
      <c r="Q149" s="142" t="s">
        <v>170</v>
      </c>
    </row>
    <row r="150" spans="2:29">
      <c r="Q150" s="142" t="s">
        <v>171</v>
      </c>
    </row>
    <row r="151" spans="2:29">
      <c r="Q151" s="142" t="s">
        <v>172</v>
      </c>
    </row>
    <row r="152" spans="2:29">
      <c r="Q152" s="142" t="s">
        <v>173</v>
      </c>
      <c r="AC152" s="131"/>
    </row>
    <row r="153" spans="2:29">
      <c r="Q153" s="143" t="s">
        <v>174</v>
      </c>
      <c r="AC153" s="131"/>
    </row>
    <row r="154" spans="2:29">
      <c r="Q154" s="141" t="s">
        <v>109</v>
      </c>
      <c r="AC154" s="131"/>
    </row>
    <row r="155" spans="2:29">
      <c r="Q155" s="142" t="s">
        <v>132</v>
      </c>
      <c r="AC155" s="131"/>
    </row>
    <row r="156" spans="2:29">
      <c r="Q156" s="142" t="s">
        <v>134</v>
      </c>
      <c r="S156" s="86"/>
      <c r="AC156" s="131"/>
    </row>
    <row r="157" spans="2:29">
      <c r="Q157" s="142" t="s">
        <v>136</v>
      </c>
    </row>
    <row r="158" spans="2:29">
      <c r="Q158" s="142" t="s">
        <v>138</v>
      </c>
    </row>
    <row r="159" spans="2:29">
      <c r="Q159" s="143" t="s">
        <v>140</v>
      </c>
    </row>
    <row r="169" spans="29:30" ht="15" customHeight="1">
      <c r="AD169" s="95"/>
    </row>
    <row r="175" spans="29:30">
      <c r="AC175" s="95"/>
    </row>
    <row r="176" spans="29:30">
      <c r="AC176" s="95"/>
    </row>
    <row r="177" spans="29:29">
      <c r="AC177" s="95"/>
    </row>
    <row r="178" spans="29:29">
      <c r="AC178" s="95"/>
    </row>
    <row r="179" spans="29:29">
      <c r="AC179" s="95"/>
    </row>
  </sheetData>
  <mergeCells count="7">
    <mergeCell ref="R99:T99"/>
    <mergeCell ref="R2:Z5"/>
    <mergeCell ref="C5:M5"/>
    <mergeCell ref="R95:T95"/>
    <mergeCell ref="R96:T96"/>
    <mergeCell ref="R97:T97"/>
    <mergeCell ref="R98:T98"/>
  </mergeCells>
  <dataValidations count="2">
    <dataValidation type="list" showInputMessage="1" showErrorMessage="1" sqref="R98:R99">
      <formula1>PriceIndexSelection</formula1>
    </dataValidation>
    <dataValidation type="list" showInputMessage="1" showErrorMessage="1" errorTitle="Wage benchmark" error="Must be one of:_x000a_Health_x000a_Public_x000a_Total" sqref="R96:R97">
      <formula1>WageSelection</formula1>
    </dataValidation>
  </dataValidations>
  <pageMargins left="0.7" right="0.7" top="0.75" bottom="0.75" header="0.3" footer="0.3"/>
  <pageSetup paperSize="9" orientation="portrait" horizontalDpi="1200" verticalDpi="1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L94"/>
  <sheetViews>
    <sheetView zoomScaleNormal="100" workbookViewId="0">
      <pane xSplit="1" ySplit="2" topLeftCell="J3" activePane="bottomRight" state="frozen"/>
      <selection activeCell="F115" sqref="F115"/>
      <selection pane="topRight" activeCell="F115" sqref="F115"/>
      <selection pane="bottomLeft" activeCell="F115" sqref="F115"/>
      <selection pane="bottomRight" activeCell="V30" sqref="V30"/>
    </sheetView>
  </sheetViews>
  <sheetFormatPr defaultRowHeight="15"/>
  <cols>
    <col min="1" max="1" width="40.85546875" customWidth="1"/>
    <col min="2" max="7" width="12.28515625" customWidth="1"/>
    <col min="8" max="12" width="11.5703125" bestFit="1" customWidth="1"/>
    <col min="13" max="15" width="11.7109375" bestFit="1" customWidth="1"/>
    <col min="16" max="24" width="11.5703125" customWidth="1"/>
    <col min="25" max="25" width="10.5703125" bestFit="1" customWidth="1"/>
    <col min="26" max="26" width="36.42578125" customWidth="1"/>
  </cols>
  <sheetData>
    <row r="1" spans="1:38">
      <c r="B1" s="144" t="s">
        <v>126</v>
      </c>
      <c r="C1" s="144" t="s">
        <v>126</v>
      </c>
      <c r="D1" s="144" t="s">
        <v>126</v>
      </c>
      <c r="E1" s="144" t="s">
        <v>126</v>
      </c>
      <c r="F1" s="144" t="s">
        <v>126</v>
      </c>
      <c r="G1" s="144" t="s">
        <v>126</v>
      </c>
      <c r="H1" s="144" t="s">
        <v>126</v>
      </c>
      <c r="I1" s="144" t="s">
        <v>126</v>
      </c>
      <c r="J1" s="144" t="s">
        <v>126</v>
      </c>
      <c r="K1" s="144" t="s">
        <v>126</v>
      </c>
      <c r="L1" s="144" t="s">
        <v>126</v>
      </c>
      <c r="M1" s="144" t="s">
        <v>126</v>
      </c>
      <c r="N1" s="144" t="s">
        <v>126</v>
      </c>
      <c r="O1" s="144" t="s">
        <v>126</v>
      </c>
      <c r="P1" s="144" t="s">
        <v>126</v>
      </c>
      <c r="Q1" s="144" t="s">
        <v>126</v>
      </c>
      <c r="R1" s="144" t="s">
        <v>126</v>
      </c>
      <c r="S1" s="144" t="s">
        <v>126</v>
      </c>
      <c r="T1" s="145" t="s">
        <v>7</v>
      </c>
      <c r="U1" s="145" t="s">
        <v>7</v>
      </c>
      <c r="V1" s="145" t="s">
        <v>7</v>
      </c>
      <c r="W1" s="145" t="s">
        <v>7</v>
      </c>
      <c r="X1" s="145" t="s">
        <v>7</v>
      </c>
      <c r="AA1" s="144" t="s">
        <v>126</v>
      </c>
      <c r="AB1" s="144" t="s">
        <v>126</v>
      </c>
      <c r="AC1" s="144" t="s">
        <v>126</v>
      </c>
      <c r="AD1" s="144" t="s">
        <v>126</v>
      </c>
      <c r="AE1" s="144" t="s">
        <v>126</v>
      </c>
      <c r="AF1" s="144" t="s">
        <v>126</v>
      </c>
      <c r="AG1" s="144" t="s">
        <v>126</v>
      </c>
      <c r="AH1" s="144" t="s">
        <v>126</v>
      </c>
      <c r="AI1" s="146" t="s">
        <v>126</v>
      </c>
      <c r="AJ1" s="146" t="s">
        <v>126</v>
      </c>
      <c r="AK1" s="145" t="s">
        <v>7</v>
      </c>
      <c r="AL1" s="145" t="s">
        <v>7</v>
      </c>
    </row>
    <row r="2" spans="1:38">
      <c r="A2" s="109" t="s">
        <v>175</v>
      </c>
      <c r="B2" s="38">
        <v>2001</v>
      </c>
      <c r="C2" s="38">
        <v>2002</v>
      </c>
      <c r="D2" s="38">
        <v>2003</v>
      </c>
      <c r="E2" s="38">
        <v>2004</v>
      </c>
      <c r="F2" s="38">
        <v>2005</v>
      </c>
      <c r="G2" s="38">
        <v>2006</v>
      </c>
      <c r="H2" s="38">
        <v>2007</v>
      </c>
      <c r="I2" s="38">
        <v>2008</v>
      </c>
      <c r="J2" s="38">
        <v>2009</v>
      </c>
      <c r="K2" s="38">
        <v>2010</v>
      </c>
      <c r="L2" s="38">
        <v>2011</v>
      </c>
      <c r="M2" s="38">
        <v>2012</v>
      </c>
      <c r="N2" s="38">
        <v>2013</v>
      </c>
      <c r="O2" s="38">
        <v>2014</v>
      </c>
      <c r="P2" s="38">
        <v>2015</v>
      </c>
      <c r="Q2" s="147">
        <v>2016</v>
      </c>
      <c r="R2" s="147">
        <v>2017</v>
      </c>
      <c r="S2" s="147">
        <v>2018</v>
      </c>
      <c r="T2" s="148">
        <v>2019</v>
      </c>
      <c r="U2" s="148">
        <v>2020</v>
      </c>
      <c r="V2" s="148">
        <v>2021</v>
      </c>
      <c r="W2" s="148">
        <v>2022</v>
      </c>
      <c r="X2" s="148">
        <v>2023</v>
      </c>
      <c r="Z2" s="109" t="s">
        <v>176</v>
      </c>
      <c r="AA2" s="38">
        <v>2009</v>
      </c>
      <c r="AB2" s="38">
        <v>2010</v>
      </c>
      <c r="AC2" s="38">
        <v>2011</v>
      </c>
      <c r="AD2" s="38">
        <v>2012</v>
      </c>
      <c r="AE2" s="38">
        <v>2013</v>
      </c>
      <c r="AF2" s="38">
        <v>2014</v>
      </c>
      <c r="AG2" s="147">
        <v>2015</v>
      </c>
      <c r="AH2" s="147">
        <v>2016</v>
      </c>
      <c r="AI2" s="147">
        <v>2017</v>
      </c>
      <c r="AJ2" s="147">
        <v>2018</v>
      </c>
      <c r="AK2" s="148">
        <v>2019</v>
      </c>
      <c r="AL2" s="148">
        <v>2020</v>
      </c>
    </row>
    <row r="3" spans="1:38">
      <c r="A3" t="s">
        <v>177</v>
      </c>
      <c r="B3" s="149">
        <v>6.66</v>
      </c>
      <c r="C3" s="149">
        <v>7.032</v>
      </c>
      <c r="D3" s="149">
        <v>7.5010000000000003</v>
      </c>
      <c r="E3" s="149">
        <v>8.1110000000000007</v>
      </c>
      <c r="F3" s="149">
        <v>8.8130000000000006</v>
      </c>
      <c r="G3" s="149">
        <v>9.5470000000000006</v>
      </c>
      <c r="H3" s="149">
        <v>10.355</v>
      </c>
      <c r="I3" s="149">
        <v>11.297000000000001</v>
      </c>
      <c r="J3" s="149">
        <v>12.368</v>
      </c>
      <c r="K3" s="149">
        <v>13.128</v>
      </c>
      <c r="L3" s="149">
        <v>13.753</v>
      </c>
      <c r="M3" s="149">
        <v>14.16</v>
      </c>
      <c r="N3" s="149">
        <v>14.497999999999999</v>
      </c>
      <c r="O3" s="149">
        <v>14.898</v>
      </c>
      <c r="P3" s="149">
        <v>15.058</v>
      </c>
      <c r="Q3" s="149">
        <v>15.625999999999999</v>
      </c>
      <c r="R3" s="149">
        <v>16.222999999999999</v>
      </c>
      <c r="S3" s="149">
        <v>17.158999999999999</v>
      </c>
      <c r="T3" s="150">
        <v>18.277000000000001</v>
      </c>
      <c r="U3" s="150">
        <v>19.198</v>
      </c>
      <c r="V3" s="150">
        <v>19.119</v>
      </c>
      <c r="W3" s="150">
        <v>19.254000000000001</v>
      </c>
      <c r="X3" s="150">
        <v>19.283000000000001</v>
      </c>
      <c r="Z3" t="s">
        <v>177</v>
      </c>
      <c r="AA3" s="149">
        <f t="shared" ref="AA3:AL5" si="0">AVERAGE(H3:J3)</f>
        <v>11.340000000000002</v>
      </c>
      <c r="AB3" s="149">
        <f t="shared" si="0"/>
        <v>12.264333333333333</v>
      </c>
      <c r="AC3" s="149">
        <f t="shared" si="0"/>
        <v>13.083</v>
      </c>
      <c r="AD3" s="149">
        <f t="shared" si="0"/>
        <v>13.680333333333332</v>
      </c>
      <c r="AE3" s="149">
        <f t="shared" si="0"/>
        <v>14.137</v>
      </c>
      <c r="AF3" s="149">
        <f t="shared" si="0"/>
        <v>14.518666666666666</v>
      </c>
      <c r="AG3" s="149">
        <f t="shared" si="0"/>
        <v>14.818</v>
      </c>
      <c r="AH3" s="149">
        <f t="shared" si="0"/>
        <v>15.194000000000001</v>
      </c>
      <c r="AI3" s="151">
        <f t="shared" si="0"/>
        <v>15.635666666666665</v>
      </c>
      <c r="AJ3" s="151">
        <f t="shared" si="0"/>
        <v>16.335999999999999</v>
      </c>
      <c r="AK3" s="150">
        <f t="shared" si="0"/>
        <v>17.219666666666665</v>
      </c>
      <c r="AL3" s="150">
        <f t="shared" si="0"/>
        <v>18.211333333333332</v>
      </c>
    </row>
    <row r="4" spans="1:38">
      <c r="A4" t="s">
        <v>178</v>
      </c>
      <c r="B4" s="149">
        <v>36.558999999999997</v>
      </c>
      <c r="C4" s="149">
        <v>37.512999999999998</v>
      </c>
      <c r="D4" s="149">
        <v>39.896999999999998</v>
      </c>
      <c r="E4" s="149">
        <v>41.881999999999998</v>
      </c>
      <c r="F4" s="149">
        <v>44.895000000000003</v>
      </c>
      <c r="G4" s="149">
        <v>49.084000000000003</v>
      </c>
      <c r="H4" s="149">
        <v>53.764000000000003</v>
      </c>
      <c r="I4" s="149">
        <v>56.753</v>
      </c>
      <c r="J4" s="149">
        <v>63.710999999999999</v>
      </c>
      <c r="K4" s="149">
        <v>63.554000000000002</v>
      </c>
      <c r="L4" s="149">
        <v>70.099000000000004</v>
      </c>
      <c r="M4" s="149">
        <v>68.938999999999993</v>
      </c>
      <c r="N4" s="149">
        <v>69.962000000000003</v>
      </c>
      <c r="O4" s="149">
        <v>71.174000000000007</v>
      </c>
      <c r="P4" s="149">
        <v>72.363</v>
      </c>
      <c r="Q4" s="149">
        <v>73.929000000000002</v>
      </c>
      <c r="R4" s="149">
        <v>76.338999999999999</v>
      </c>
      <c r="S4" s="149">
        <v>80.575999999999993</v>
      </c>
      <c r="T4" s="150">
        <v>87.3</v>
      </c>
      <c r="U4" s="150">
        <v>93.262</v>
      </c>
      <c r="V4" s="150">
        <v>98.891000000000005</v>
      </c>
      <c r="W4" s="150">
        <v>101.68600000000001</v>
      </c>
      <c r="X4" s="150">
        <v>105.733</v>
      </c>
      <c r="Z4" t="s">
        <v>178</v>
      </c>
      <c r="AA4" s="149">
        <f t="shared" si="0"/>
        <v>58.076000000000001</v>
      </c>
      <c r="AB4" s="149">
        <f t="shared" si="0"/>
        <v>61.339333333333336</v>
      </c>
      <c r="AC4" s="149">
        <f t="shared" si="0"/>
        <v>65.787999999999997</v>
      </c>
      <c r="AD4" s="149">
        <f t="shared" si="0"/>
        <v>67.530666666666676</v>
      </c>
      <c r="AE4" s="149">
        <f t="shared" si="0"/>
        <v>69.666666666666671</v>
      </c>
      <c r="AF4" s="149">
        <f t="shared" si="0"/>
        <v>70.025000000000006</v>
      </c>
      <c r="AG4" s="149">
        <f t="shared" si="0"/>
        <v>71.166333333333341</v>
      </c>
      <c r="AH4" s="149">
        <f t="shared" si="0"/>
        <v>72.488666666666674</v>
      </c>
      <c r="AI4" s="151">
        <f t="shared" si="0"/>
        <v>74.210333333333338</v>
      </c>
      <c r="AJ4" s="151">
        <f t="shared" si="0"/>
        <v>76.947999999999993</v>
      </c>
      <c r="AK4" s="150">
        <f t="shared" si="0"/>
        <v>81.404999999999987</v>
      </c>
      <c r="AL4" s="150">
        <f t="shared" si="0"/>
        <v>87.045999999999992</v>
      </c>
    </row>
    <row r="5" spans="1:38">
      <c r="A5" t="s">
        <v>179</v>
      </c>
      <c r="B5" s="149">
        <v>122.211</v>
      </c>
      <c r="C5" s="149">
        <v>130.00399999999999</v>
      </c>
      <c r="D5" s="149">
        <v>137.14699999999999</v>
      </c>
      <c r="E5" s="149">
        <v>147.58600000000001</v>
      </c>
      <c r="F5" s="149">
        <v>156.79400000000001</v>
      </c>
      <c r="G5" s="149">
        <v>164.61600000000001</v>
      </c>
      <c r="H5" s="149">
        <v>175.71</v>
      </c>
      <c r="I5" s="149">
        <v>189.05099999999999</v>
      </c>
      <c r="J5" s="149">
        <v>189.554</v>
      </c>
      <c r="K5" s="149">
        <v>196.733</v>
      </c>
      <c r="L5" s="149">
        <v>205.82900000000001</v>
      </c>
      <c r="M5" s="149">
        <v>215.12100000000001</v>
      </c>
      <c r="N5" s="149">
        <v>218.756</v>
      </c>
      <c r="O5" s="149">
        <v>236.72200000000001</v>
      </c>
      <c r="P5" s="149">
        <v>244.79400000000001</v>
      </c>
      <c r="Q5" s="149">
        <v>257.15699999999998</v>
      </c>
      <c r="R5" s="149">
        <v>273.36599999999999</v>
      </c>
      <c r="S5" s="149">
        <v>288.72199999999998</v>
      </c>
      <c r="T5" s="150">
        <v>299.71300000000002</v>
      </c>
      <c r="U5" s="150">
        <v>316.95699999999999</v>
      </c>
      <c r="V5" s="150">
        <v>334.00900000000001</v>
      </c>
      <c r="W5" s="150">
        <v>350.21</v>
      </c>
      <c r="X5" s="150">
        <v>366.56799999999998</v>
      </c>
      <c r="Z5" t="s">
        <v>179</v>
      </c>
      <c r="AA5" s="149">
        <f t="shared" si="0"/>
        <v>184.77166666666665</v>
      </c>
      <c r="AB5" s="149">
        <f t="shared" si="0"/>
        <v>191.77933333333331</v>
      </c>
      <c r="AC5" s="149">
        <f t="shared" si="0"/>
        <v>197.37199999999999</v>
      </c>
      <c r="AD5" s="149">
        <f t="shared" si="0"/>
        <v>205.89433333333332</v>
      </c>
      <c r="AE5" s="149">
        <f t="shared" si="0"/>
        <v>213.23533333333333</v>
      </c>
      <c r="AF5" s="149">
        <f t="shared" si="0"/>
        <v>223.53300000000002</v>
      </c>
      <c r="AG5" s="149">
        <f t="shared" si="0"/>
        <v>233.42400000000001</v>
      </c>
      <c r="AH5" s="149">
        <f t="shared" si="0"/>
        <v>246.22433333333333</v>
      </c>
      <c r="AI5" s="151">
        <f t="shared" si="0"/>
        <v>258.43900000000002</v>
      </c>
      <c r="AJ5" s="151">
        <f t="shared" si="0"/>
        <v>273.08166666666665</v>
      </c>
      <c r="AK5" s="150">
        <f t="shared" si="0"/>
        <v>287.267</v>
      </c>
      <c r="AL5" s="150">
        <f t="shared" si="0"/>
        <v>301.79733333333331</v>
      </c>
    </row>
    <row r="6" spans="1:38">
      <c r="A6" t="s">
        <v>180</v>
      </c>
      <c r="B6" s="89">
        <f t="shared" ref="B6:G6" si="1">B4/B5</f>
        <v>0.29914655800214379</v>
      </c>
      <c r="C6" s="89">
        <f t="shared" si="1"/>
        <v>0.28855265991815637</v>
      </c>
      <c r="D6" s="89">
        <f t="shared" si="1"/>
        <v>0.29090683718929322</v>
      </c>
      <c r="E6" s="89">
        <f t="shared" si="1"/>
        <v>0.28378030436491264</v>
      </c>
      <c r="F6" s="89">
        <f t="shared" si="1"/>
        <v>0.28633110960878605</v>
      </c>
      <c r="G6" s="89">
        <f t="shared" si="1"/>
        <v>0.29817271711133791</v>
      </c>
      <c r="H6" s="89">
        <f>H4/H5</f>
        <v>0.3059814467019521</v>
      </c>
      <c r="I6" s="89">
        <f t="shared" ref="I6:V6" si="2">I4/I5</f>
        <v>0.3001994170885105</v>
      </c>
      <c r="J6" s="89">
        <f t="shared" si="2"/>
        <v>0.33611002669424017</v>
      </c>
      <c r="K6" s="89">
        <f t="shared" si="2"/>
        <v>0.32304697229239632</v>
      </c>
      <c r="L6" s="89">
        <f t="shared" si="2"/>
        <v>0.34056911319590533</v>
      </c>
      <c r="M6" s="89">
        <f t="shared" si="2"/>
        <v>0.32046615625624641</v>
      </c>
      <c r="N6" s="89">
        <f t="shared" si="2"/>
        <v>0.31981751357677046</v>
      </c>
      <c r="O6" s="89">
        <f t="shared" si="2"/>
        <v>0.30066491496354375</v>
      </c>
      <c r="P6" s="89">
        <f t="shared" si="2"/>
        <v>0.29560773548371283</v>
      </c>
      <c r="Q6" s="118">
        <f t="shared" si="2"/>
        <v>0.28748585494464474</v>
      </c>
      <c r="R6" s="118">
        <f t="shared" si="2"/>
        <v>0.27925564993452001</v>
      </c>
      <c r="S6" s="118">
        <f t="shared" si="2"/>
        <v>0.27907814437417305</v>
      </c>
      <c r="T6" s="152">
        <f t="shared" si="2"/>
        <v>0.2912786565814629</v>
      </c>
      <c r="U6" s="152">
        <f t="shared" si="2"/>
        <v>0.29424180567080077</v>
      </c>
      <c r="V6" s="152">
        <f t="shared" si="2"/>
        <v>0.2960728603121473</v>
      </c>
      <c r="W6" s="152">
        <f>W4/W5</f>
        <v>0.29035721424288286</v>
      </c>
      <c r="X6" s="152">
        <f>X4/X5</f>
        <v>0.2884403439470985</v>
      </c>
      <c r="Z6" t="s">
        <v>180</v>
      </c>
      <c r="AA6" s="89">
        <f>AA4/AA5</f>
        <v>0.31431225927496104</v>
      </c>
      <c r="AB6" s="89">
        <f t="shared" ref="AB6:AJ6" si="3">AB4/AB5</f>
        <v>0.3198432921169817</v>
      </c>
      <c r="AC6" s="89">
        <f t="shared" si="3"/>
        <v>0.33331982246721925</v>
      </c>
      <c r="AD6" s="89">
        <f t="shared" si="3"/>
        <v>0.32798700951782717</v>
      </c>
      <c r="AE6" s="89">
        <f t="shared" si="3"/>
        <v>0.32671258359308808</v>
      </c>
      <c r="AF6" s="89">
        <f t="shared" si="3"/>
        <v>0.31326470811915913</v>
      </c>
      <c r="AG6" s="89">
        <f t="shared" si="3"/>
        <v>0.30488010373112162</v>
      </c>
      <c r="AH6" s="89">
        <f t="shared" si="3"/>
        <v>0.29440090540739949</v>
      </c>
      <c r="AI6" s="118">
        <f t="shared" si="3"/>
        <v>0.28714835351217632</v>
      </c>
      <c r="AJ6" s="118">
        <f t="shared" si="3"/>
        <v>0.28177651374131057</v>
      </c>
      <c r="AK6" s="152">
        <f>AK4/AK5</f>
        <v>0.28337748505745519</v>
      </c>
      <c r="AL6" s="152">
        <f>AL4/AL5</f>
        <v>0.28842534504391465</v>
      </c>
    </row>
    <row r="7" spans="1:38">
      <c r="A7" t="s">
        <v>181</v>
      </c>
      <c r="B7" s="89">
        <f t="shared" ref="B7:V7" si="4">B3/B4</f>
        <v>0.18217128477255945</v>
      </c>
      <c r="C7" s="89">
        <f t="shared" si="4"/>
        <v>0.18745501559459388</v>
      </c>
      <c r="D7" s="89">
        <f t="shared" si="4"/>
        <v>0.18800912349299448</v>
      </c>
      <c r="E7" s="89">
        <f t="shared" si="4"/>
        <v>0.19366314884675997</v>
      </c>
      <c r="F7" s="89">
        <f t="shared" si="4"/>
        <v>0.19630248357278093</v>
      </c>
      <c r="G7" s="89">
        <f t="shared" si="4"/>
        <v>0.19450330046450981</v>
      </c>
      <c r="H7" s="89">
        <f t="shared" si="4"/>
        <v>0.19260099694963173</v>
      </c>
      <c r="I7" s="89">
        <f t="shared" si="4"/>
        <v>0.19905555653445633</v>
      </c>
      <c r="J7" s="89">
        <f t="shared" si="4"/>
        <v>0.19412660294140729</v>
      </c>
      <c r="K7" s="89">
        <f t="shared" si="4"/>
        <v>0.20656449633382634</v>
      </c>
      <c r="L7" s="89">
        <f t="shared" si="4"/>
        <v>0.19619395426468281</v>
      </c>
      <c r="M7" s="89">
        <f t="shared" si="4"/>
        <v>0.20539897590623596</v>
      </c>
      <c r="N7" s="89">
        <f t="shared" si="4"/>
        <v>0.20722678025213687</v>
      </c>
      <c r="O7" s="89">
        <f t="shared" si="4"/>
        <v>0.20931800938544973</v>
      </c>
      <c r="P7" s="89">
        <f t="shared" si="4"/>
        <v>0.20808976963365255</v>
      </c>
      <c r="Q7" s="118">
        <f t="shared" si="4"/>
        <v>0.21136495827077328</v>
      </c>
      <c r="R7" s="118">
        <f t="shared" si="4"/>
        <v>0.21251260823432322</v>
      </c>
      <c r="S7" s="118">
        <f t="shared" si="4"/>
        <v>0.21295422954725973</v>
      </c>
      <c r="T7" s="152">
        <f t="shared" si="4"/>
        <v>0.2093585337915235</v>
      </c>
      <c r="U7" s="152">
        <f t="shared" si="4"/>
        <v>0.20585018549891704</v>
      </c>
      <c r="V7" s="152">
        <f t="shared" si="4"/>
        <v>0.19333407489053603</v>
      </c>
      <c r="W7" s="152">
        <f>W3/W4</f>
        <v>0.18934759947288712</v>
      </c>
      <c r="X7" s="152">
        <f>X3/X4</f>
        <v>0.1823744715462533</v>
      </c>
      <c r="Z7" t="s">
        <v>181</v>
      </c>
      <c r="AA7" s="89">
        <f t="shared" ref="AA7:AJ7" si="5">AA3/AA4</f>
        <v>0.19526138163785386</v>
      </c>
      <c r="AB7" s="89">
        <f t="shared" si="5"/>
        <v>0.19994239693942983</v>
      </c>
      <c r="AC7" s="89">
        <f t="shared" si="5"/>
        <v>0.19886605459962303</v>
      </c>
      <c r="AD7" s="89">
        <f t="shared" si="5"/>
        <v>0.20257956878850097</v>
      </c>
      <c r="AE7" s="89">
        <f t="shared" si="5"/>
        <v>0.20292344497607656</v>
      </c>
      <c r="AF7" s="89">
        <f t="shared" si="5"/>
        <v>0.20733547542544328</v>
      </c>
      <c r="AG7" s="89">
        <f t="shared" si="5"/>
        <v>0.20821643192708159</v>
      </c>
      <c r="AH7" s="89">
        <f t="shared" si="5"/>
        <v>0.20960517966026873</v>
      </c>
      <c r="AI7" s="118">
        <f t="shared" si="5"/>
        <v>0.2106939285184902</v>
      </c>
      <c r="AJ7" s="118">
        <f t="shared" si="5"/>
        <v>0.21229921505432239</v>
      </c>
      <c r="AK7" s="152">
        <f>AK3/AK4</f>
        <v>0.21153082325000513</v>
      </c>
      <c r="AL7" s="152">
        <f>AL3/AL4</f>
        <v>0.2092150510458072</v>
      </c>
    </row>
    <row r="8" spans="1:38">
      <c r="A8" t="s">
        <v>182</v>
      </c>
      <c r="B8" s="153">
        <f t="shared" ref="B8:V8" si="6">B3/B5</f>
        <v>5.4495912806539509E-2</v>
      </c>
      <c r="C8" s="153">
        <f t="shared" si="6"/>
        <v>5.409064336481955E-2</v>
      </c>
      <c r="D8" s="153">
        <f t="shared" si="6"/>
        <v>5.4693139478078273E-2</v>
      </c>
      <c r="E8" s="153">
        <f t="shared" si="6"/>
        <v>5.4957787324000924E-2</v>
      </c>
      <c r="F8" s="153">
        <f t="shared" si="6"/>
        <v>5.620750794035486E-2</v>
      </c>
      <c r="G8" s="153">
        <f t="shared" si="6"/>
        <v>5.7995577586625845E-2</v>
      </c>
      <c r="H8" s="153">
        <f t="shared" si="6"/>
        <v>5.8932331682886571E-2</v>
      </c>
      <c r="I8" s="153">
        <f t="shared" si="6"/>
        <v>5.9756362039872848E-2</v>
      </c>
      <c r="J8" s="153">
        <f t="shared" si="6"/>
        <v>6.5247897696698573E-2</v>
      </c>
      <c r="K8" s="153">
        <f t="shared" si="6"/>
        <v>6.6730035123746395E-2</v>
      </c>
      <c r="L8" s="153">
        <f t="shared" si="6"/>
        <v>6.6817601018321029E-2</v>
      </c>
      <c r="M8" s="153">
        <f t="shared" si="6"/>
        <v>6.5823420307640809E-2</v>
      </c>
      <c r="N8" s="153">
        <f t="shared" si="6"/>
        <v>6.6274753606758205E-2</v>
      </c>
      <c r="O8" s="153">
        <f t="shared" si="6"/>
        <v>6.2934581492214495E-2</v>
      </c>
      <c r="P8" s="153">
        <f t="shared" si="6"/>
        <v>6.15129455787315E-2</v>
      </c>
      <c r="Q8" s="154">
        <f t="shared" si="6"/>
        <v>6.0764435733812419E-2</v>
      </c>
      <c r="R8" s="154">
        <f t="shared" si="6"/>
        <v>5.9345346531755959E-2</v>
      </c>
      <c r="S8" s="154">
        <f t="shared" si="6"/>
        <v>5.9430871218680945E-2</v>
      </c>
      <c r="T8" s="155">
        <f t="shared" si="6"/>
        <v>6.0981672466659767E-2</v>
      </c>
      <c r="U8" s="155">
        <f t="shared" si="6"/>
        <v>6.0569730278870637E-2</v>
      </c>
      <c r="V8" s="155">
        <f t="shared" si="6"/>
        <v>5.7240972548643895E-2</v>
      </c>
      <c r="W8" s="155">
        <f>W3/W5</f>
        <v>5.4978441506524665E-2</v>
      </c>
      <c r="X8" s="155">
        <f>X3/X5</f>
        <v>5.2604155299971637E-2</v>
      </c>
      <c r="Y8" s="130"/>
      <c r="Z8" t="s">
        <v>182</v>
      </c>
      <c r="AA8" s="153">
        <f t="shared" ref="AA8:AJ8" si="7">AA3/AA5</f>
        <v>6.1373046011744238E-2</v>
      </c>
      <c r="AB8" s="153">
        <f t="shared" si="7"/>
        <v>6.3950234470867562E-2</v>
      </c>
      <c r="AC8" s="153">
        <f t="shared" si="7"/>
        <v>6.6285998013902683E-2</v>
      </c>
      <c r="AD8" s="153">
        <f t="shared" si="7"/>
        <v>6.6443466956351394E-2</v>
      </c>
      <c r="AE8" s="153">
        <f t="shared" si="7"/>
        <v>6.6297642979743818E-2</v>
      </c>
      <c r="AF8" s="153">
        <f t="shared" si="7"/>
        <v>6.4950887191898579E-2</v>
      </c>
      <c r="AG8" s="153">
        <f t="shared" si="7"/>
        <v>6.3481047364452661E-2</v>
      </c>
      <c r="AH8" s="153">
        <f t="shared" si="7"/>
        <v>6.170795467006375E-2</v>
      </c>
      <c r="AI8" s="154">
        <f t="shared" si="7"/>
        <v>6.0500414669096628E-2</v>
      </c>
      <c r="AJ8" s="154">
        <f t="shared" si="7"/>
        <v>5.9820932688023729E-2</v>
      </c>
      <c r="AK8" s="155">
        <f>AK3/AK5</f>
        <v>5.9943072704719533E-2</v>
      </c>
      <c r="AL8" s="155">
        <f>AL3/AL5</f>
        <v>6.0342923286267162E-2</v>
      </c>
    </row>
    <row r="9" spans="1:38">
      <c r="A9" s="156" t="s">
        <v>183</v>
      </c>
      <c r="B9" s="156"/>
      <c r="C9" s="156"/>
      <c r="D9" s="156"/>
      <c r="E9" s="156"/>
      <c r="F9" s="156"/>
      <c r="G9" s="156"/>
      <c r="H9" s="153"/>
      <c r="I9" s="153"/>
      <c r="J9" s="153"/>
      <c r="K9" s="153"/>
      <c r="L9" s="157">
        <f t="shared" ref="L9:W9" si="8">$K8*L5-L3</f>
        <v>-1.8023600514402105E-2</v>
      </c>
      <c r="M9" s="157">
        <f t="shared" si="8"/>
        <v>0.19503188585544962</v>
      </c>
      <c r="N9" s="157">
        <f t="shared" si="8"/>
        <v>9.9595563530266773E-2</v>
      </c>
      <c r="O9" s="157">
        <f t="shared" si="8"/>
        <v>0.89846737456349501</v>
      </c>
      <c r="P9" s="157">
        <f t="shared" si="8"/>
        <v>1.277112218082376</v>
      </c>
      <c r="Q9" s="158">
        <f t="shared" si="8"/>
        <v>1.5340956423172525</v>
      </c>
      <c r="R9" s="158">
        <f t="shared" si="8"/>
        <v>2.0187227816380577</v>
      </c>
      <c r="S9" s="158">
        <f t="shared" si="8"/>
        <v>2.1074292009983076</v>
      </c>
      <c r="T9" s="159">
        <f t="shared" si="8"/>
        <v>1.7228590170434046</v>
      </c>
      <c r="U9" s="159">
        <f t="shared" si="8"/>
        <v>1.9525517427172865</v>
      </c>
      <c r="V9" s="159">
        <f t="shared" si="8"/>
        <v>3.1694323016474115</v>
      </c>
      <c r="W9" s="159">
        <f t="shared" si="8"/>
        <v>4.1155256006872207</v>
      </c>
      <c r="X9" s="159">
        <f>$K8*X5-X3</f>
        <v>5.1780955152414663</v>
      </c>
      <c r="Y9" s="130"/>
      <c r="AA9" s="153"/>
      <c r="AB9" s="153"/>
      <c r="AC9" s="153"/>
      <c r="AD9" s="153"/>
      <c r="AE9" s="153"/>
      <c r="AF9" s="153"/>
      <c r="AG9" s="154"/>
      <c r="AH9" s="154"/>
      <c r="AI9" s="158"/>
      <c r="AJ9" s="158"/>
      <c r="AK9" s="159"/>
      <c r="AL9" s="159"/>
    </row>
    <row r="10" spans="1:38">
      <c r="B10" s="95"/>
      <c r="C10" s="95"/>
      <c r="D10" s="95"/>
      <c r="E10" s="95"/>
      <c r="F10" s="160"/>
      <c r="G10" s="160"/>
      <c r="H10" s="160"/>
      <c r="I10" s="160"/>
      <c r="J10" s="160"/>
      <c r="K10" s="160"/>
      <c r="L10" s="160"/>
      <c r="M10" s="160"/>
      <c r="N10" s="160"/>
      <c r="O10" s="160"/>
      <c r="P10" s="160"/>
      <c r="Q10" s="160"/>
      <c r="R10" s="161"/>
      <c r="S10" s="161"/>
      <c r="T10" s="162"/>
      <c r="U10" s="162"/>
      <c r="V10" s="162"/>
      <c r="W10" s="163"/>
      <c r="X10" s="163"/>
      <c r="Y10" s="130"/>
      <c r="AG10" s="116"/>
      <c r="AH10" s="116"/>
      <c r="AI10" s="118"/>
      <c r="AJ10" s="118"/>
      <c r="AK10" s="163"/>
      <c r="AL10" s="163"/>
    </row>
    <row r="11" spans="1:38">
      <c r="A11" s="109" t="s">
        <v>175</v>
      </c>
      <c r="B11" s="147">
        <v>2001</v>
      </c>
      <c r="C11" s="147">
        <v>2002</v>
      </c>
      <c r="D11" s="147">
        <v>2003</v>
      </c>
      <c r="E11" s="147">
        <v>2004</v>
      </c>
      <c r="F11" s="147">
        <v>2005</v>
      </c>
      <c r="G11" s="147">
        <v>2006</v>
      </c>
      <c r="H11" s="147">
        <v>2007</v>
      </c>
      <c r="I11" s="147">
        <v>2008</v>
      </c>
      <c r="J11" s="147">
        <v>2009</v>
      </c>
      <c r="K11" s="147">
        <v>2010</v>
      </c>
      <c r="L11" s="147">
        <v>2011</v>
      </c>
      <c r="M11" s="147">
        <v>2012</v>
      </c>
      <c r="N11" s="147">
        <v>2013</v>
      </c>
      <c r="O11" s="147">
        <v>2014</v>
      </c>
      <c r="P11" s="147">
        <v>2015</v>
      </c>
      <c r="Q11" s="147">
        <v>2016</v>
      </c>
      <c r="R11" s="147">
        <v>2017</v>
      </c>
      <c r="S11" s="147">
        <v>2018</v>
      </c>
      <c r="T11" s="148">
        <v>2019</v>
      </c>
      <c r="U11" s="148">
        <v>2020</v>
      </c>
      <c r="V11" s="148">
        <v>2021</v>
      </c>
      <c r="W11" s="148">
        <v>2022</v>
      </c>
      <c r="X11" s="148">
        <v>2023</v>
      </c>
      <c r="Z11" s="109" t="s">
        <v>175</v>
      </c>
      <c r="AA11" s="38">
        <v>2009</v>
      </c>
      <c r="AB11" s="38">
        <v>2010</v>
      </c>
      <c r="AC11" s="38">
        <v>2011</v>
      </c>
      <c r="AD11" s="38">
        <v>2012</v>
      </c>
      <c r="AE11" s="38">
        <v>2013</v>
      </c>
      <c r="AF11" s="38">
        <v>2014</v>
      </c>
      <c r="AG11" s="147">
        <v>2015</v>
      </c>
      <c r="AH11" s="147">
        <v>2016</v>
      </c>
      <c r="AI11" s="147">
        <v>2017</v>
      </c>
      <c r="AJ11" s="147">
        <v>2018</v>
      </c>
      <c r="AK11" s="148">
        <v>2019</v>
      </c>
      <c r="AL11" s="148">
        <v>2020</v>
      </c>
    </row>
    <row r="12" spans="1:38">
      <c r="A12" t="s">
        <v>184</v>
      </c>
      <c r="B12" s="149">
        <v>7.1257539999999997</v>
      </c>
      <c r="C12" s="149">
        <v>7.2935210000000001</v>
      </c>
      <c r="D12" s="149">
        <v>7.8023530000000001</v>
      </c>
      <c r="E12" s="149">
        <v>8.5706910000000001</v>
      </c>
      <c r="F12" s="149">
        <v>9.3663480000000003</v>
      </c>
      <c r="G12" s="149">
        <v>9.0996030000000001</v>
      </c>
      <c r="H12" s="149">
        <v>9.8575979999999994</v>
      </c>
      <c r="I12" s="149">
        <v>10.772335999999999</v>
      </c>
      <c r="J12" s="149">
        <f>Multiyear!C79/1000000</f>
        <v>11.619833</v>
      </c>
      <c r="K12" s="149">
        <f>Multiyear!D79/1000000</f>
        <v>12.348564</v>
      </c>
      <c r="L12" s="149">
        <f>Multiyear!E79/1000000</f>
        <v>12.79895</v>
      </c>
      <c r="M12" s="149">
        <f>Multiyear!F79/1000000</f>
        <v>13.268789</v>
      </c>
      <c r="N12" s="149">
        <f>Multiyear!G79/1000000</f>
        <v>13.62405</v>
      </c>
      <c r="O12" s="149">
        <f>Multiyear!H79/1000000</f>
        <v>14.050406000000001</v>
      </c>
      <c r="P12" s="149">
        <f>Multiyear!I79/1000000</f>
        <v>14.344592</v>
      </c>
      <c r="Q12" s="149">
        <f>Multiyear!J79/1000000</f>
        <v>14.792567999999999</v>
      </c>
      <c r="R12" s="151">
        <f>Multiyear!K79/1000000</f>
        <v>15.275331</v>
      </c>
      <c r="S12" s="151">
        <f>Multiyear!L79/1000000</f>
        <v>16.176262000000001</v>
      </c>
      <c r="T12" s="150">
        <f>'2019 Health appropriations'!R23/1000000</f>
        <v>17.181384000000001</v>
      </c>
      <c r="U12" s="150">
        <f>'2019 Health appropriations'!U23/1000000</f>
        <v>18.157281999999999</v>
      </c>
      <c r="V12" s="150">
        <f>'2019 Health appropriations'!V23/1000000</f>
        <v>18.103299</v>
      </c>
      <c r="W12" s="150">
        <f>'2019 Health appropriations'!W23/1000000</f>
        <v>18.244211</v>
      </c>
      <c r="X12" s="150">
        <f>'2019 Health appropriations'!X23/1000000</f>
        <v>18.281478</v>
      </c>
      <c r="Z12" t="s">
        <v>184</v>
      </c>
      <c r="AA12" s="149">
        <f t="shared" ref="AA12:AL12" si="9">AVERAGE(H12:J12)</f>
        <v>10.749922333333332</v>
      </c>
      <c r="AB12" s="149">
        <f t="shared" si="9"/>
        <v>11.580244333333333</v>
      </c>
      <c r="AC12" s="149">
        <f t="shared" si="9"/>
        <v>12.255782333333334</v>
      </c>
      <c r="AD12" s="149">
        <f t="shared" si="9"/>
        <v>12.805434333333332</v>
      </c>
      <c r="AE12" s="149">
        <f t="shared" si="9"/>
        <v>13.230596333333333</v>
      </c>
      <c r="AF12" s="149">
        <f t="shared" si="9"/>
        <v>13.647748333333334</v>
      </c>
      <c r="AG12" s="149">
        <f t="shared" si="9"/>
        <v>14.006349333333333</v>
      </c>
      <c r="AH12" s="149">
        <f t="shared" si="9"/>
        <v>14.395855333333335</v>
      </c>
      <c r="AI12" s="149">
        <f t="shared" si="9"/>
        <v>14.804163666666668</v>
      </c>
      <c r="AJ12" s="149">
        <f t="shared" si="9"/>
        <v>15.414720333333333</v>
      </c>
      <c r="AK12" s="150">
        <f t="shared" si="9"/>
        <v>16.210992333333333</v>
      </c>
      <c r="AL12" s="150">
        <f t="shared" si="9"/>
        <v>17.171642666666667</v>
      </c>
    </row>
    <row r="13" spans="1:38">
      <c r="A13" t="s">
        <v>185</v>
      </c>
      <c r="B13" s="89">
        <f t="shared" ref="B13:H13" si="10">B12/B4</f>
        <v>0.1949110752482289</v>
      </c>
      <c r="C13" s="89">
        <f t="shared" si="10"/>
        <v>0.19442649214938823</v>
      </c>
      <c r="D13" s="89">
        <f t="shared" si="10"/>
        <v>0.19556239817530141</v>
      </c>
      <c r="E13" s="89">
        <f t="shared" si="10"/>
        <v>0.20463900959839551</v>
      </c>
      <c r="F13" s="89">
        <f t="shared" si="10"/>
        <v>0.20862786501837621</v>
      </c>
      <c r="G13" s="89">
        <f t="shared" si="10"/>
        <v>0.18538837503055985</v>
      </c>
      <c r="H13" s="89">
        <f t="shared" si="10"/>
        <v>0.18334941596607393</v>
      </c>
      <c r="I13" s="89">
        <f>I12/I4</f>
        <v>0.18981086462389651</v>
      </c>
      <c r="J13" s="89">
        <f t="shared" ref="J13:V13" si="11">J12/J4</f>
        <v>0.18238346596349139</v>
      </c>
      <c r="K13" s="89">
        <f t="shared" si="11"/>
        <v>0.19430034301538848</v>
      </c>
      <c r="L13" s="89">
        <f t="shared" si="11"/>
        <v>0.18258391703162669</v>
      </c>
      <c r="M13" s="89">
        <f t="shared" si="11"/>
        <v>0.19247144577089892</v>
      </c>
      <c r="N13" s="89">
        <f t="shared" si="11"/>
        <v>0.19473499899945684</v>
      </c>
      <c r="O13" s="89">
        <f t="shared" si="11"/>
        <v>0.197409250569028</v>
      </c>
      <c r="P13" s="118">
        <f t="shared" si="11"/>
        <v>0.19823102966985892</v>
      </c>
      <c r="Q13" s="118">
        <f t="shared" si="11"/>
        <v>0.20009154729537798</v>
      </c>
      <c r="R13" s="118">
        <f t="shared" si="11"/>
        <v>0.20009865206513053</v>
      </c>
      <c r="S13" s="118">
        <f t="shared" si="11"/>
        <v>0.20075781870532172</v>
      </c>
      <c r="T13" s="152">
        <f t="shared" si="11"/>
        <v>0.19680852233676979</v>
      </c>
      <c r="U13" s="152">
        <f t="shared" si="11"/>
        <v>0.19469110677446333</v>
      </c>
      <c r="V13" s="152">
        <f t="shared" si="11"/>
        <v>0.18306316044938364</v>
      </c>
      <c r="W13" s="152">
        <f>W12/W4</f>
        <v>0.17941713706901638</v>
      </c>
      <c r="X13" s="152">
        <f>X12/X4</f>
        <v>0.1729022916213481</v>
      </c>
      <c r="Y13" s="130"/>
      <c r="Z13" t="s">
        <v>185</v>
      </c>
      <c r="AA13" s="118">
        <f>AA12/AA4</f>
        <v>0.18510094244323527</v>
      </c>
      <c r="AB13" s="118">
        <f t="shared" ref="AB13:AJ13" si="12">AB12/AB4</f>
        <v>0.18878986294818983</v>
      </c>
      <c r="AC13" s="118">
        <f t="shared" si="12"/>
        <v>0.18629206440890944</v>
      </c>
      <c r="AD13" s="118">
        <f t="shared" si="12"/>
        <v>0.18962398811404196</v>
      </c>
      <c r="AE13" s="118">
        <f t="shared" si="12"/>
        <v>0.1899128660287081</v>
      </c>
      <c r="AF13" s="118">
        <f t="shared" si="12"/>
        <v>0.19489822682375341</v>
      </c>
      <c r="AG13" s="118">
        <f t="shared" si="12"/>
        <v>0.19681145110749931</v>
      </c>
      <c r="AH13" s="118">
        <f t="shared" si="12"/>
        <v>0.19859456650694821</v>
      </c>
      <c r="AI13" s="118">
        <f t="shared" si="12"/>
        <v>0.1994892490264159</v>
      </c>
      <c r="AJ13" s="118">
        <f t="shared" si="12"/>
        <v>0.20032645856075967</v>
      </c>
      <c r="AK13" s="152">
        <f>AK12/AK4</f>
        <v>0.19914000778002994</v>
      </c>
      <c r="AL13" s="152">
        <f>AL12/AL4</f>
        <v>0.19727089891168656</v>
      </c>
    </row>
    <row r="14" spans="1:38">
      <c r="A14" t="s">
        <v>186</v>
      </c>
      <c r="B14" s="153">
        <f t="shared" ref="B14:H14" si="13">B12/B5</f>
        <v>5.8306977277004526E-2</v>
      </c>
      <c r="C14" s="153">
        <f t="shared" si="13"/>
        <v>5.6102281468262523E-2</v>
      </c>
      <c r="D14" s="153">
        <f t="shared" si="13"/>
        <v>5.6890438726330143E-2</v>
      </c>
      <c r="E14" s="153">
        <f t="shared" si="13"/>
        <v>5.8072520428766955E-2</v>
      </c>
      <c r="F14" s="153">
        <f t="shared" si="13"/>
        <v>5.9736648086023698E-2</v>
      </c>
      <c r="G14" s="153">
        <f t="shared" si="13"/>
        <v>5.5277755503717739E-2</v>
      </c>
      <c r="H14" s="153">
        <f t="shared" si="13"/>
        <v>5.6101519549257295E-2</v>
      </c>
      <c r="I14" s="153">
        <f>I12/I5</f>
        <v>5.6981110917159919E-2</v>
      </c>
      <c r="J14" s="153">
        <f t="shared" ref="J14:V14" si="14">J12/J5</f>
        <v>6.1300911613577133E-2</v>
      </c>
      <c r="K14" s="153">
        <f t="shared" si="14"/>
        <v>6.2768137526495293E-2</v>
      </c>
      <c r="L14" s="153">
        <f t="shared" si="14"/>
        <v>6.2182442707295858E-2</v>
      </c>
      <c r="M14" s="153">
        <f t="shared" si="14"/>
        <v>6.1680584415282562E-2</v>
      </c>
      <c r="N14" s="153">
        <f t="shared" si="14"/>
        <v>6.2279663186381173E-2</v>
      </c>
      <c r="O14" s="153">
        <f t="shared" si="14"/>
        <v>5.9354035535353705E-2</v>
      </c>
      <c r="P14" s="154">
        <f t="shared" si="14"/>
        <v>5.8598625783311681E-2</v>
      </c>
      <c r="Q14" s="154">
        <f t="shared" si="14"/>
        <v>5.7523489541408554E-2</v>
      </c>
      <c r="R14" s="154">
        <f t="shared" si="14"/>
        <v>5.5878679133469417E-2</v>
      </c>
      <c r="S14" s="154">
        <f t="shared" si="14"/>
        <v>5.6027119512887837E-2</v>
      </c>
      <c r="T14" s="155">
        <f t="shared" si="14"/>
        <v>5.7326121990037136E-2</v>
      </c>
      <c r="U14" s="155">
        <f t="shared" si="14"/>
        <v>5.7286262805364765E-2</v>
      </c>
      <c r="V14" s="155">
        <f t="shared" si="14"/>
        <v>5.4200033532030574E-2</v>
      </c>
      <c r="W14" s="155">
        <f>W12/W5</f>
        <v>5.2095060106793073E-2</v>
      </c>
      <c r="X14" s="155">
        <f>X12/X5</f>
        <v>4.9871996464503181E-2</v>
      </c>
      <c r="Y14" s="130"/>
      <c r="Z14" t="s">
        <v>186</v>
      </c>
      <c r="AA14" s="154">
        <f>AA12/AA5</f>
        <v>5.8179495413257808E-2</v>
      </c>
      <c r="AB14" s="154">
        <f t="shared" ref="AB14:AJ14" si="15">AB12/AB5</f>
        <v>6.0383171283662829E-2</v>
      </c>
      <c r="AC14" s="154">
        <f t="shared" si="15"/>
        <v>6.2094837835829475E-2</v>
      </c>
      <c r="AD14" s="154">
        <f t="shared" si="15"/>
        <v>6.2194204794368629E-2</v>
      </c>
      <c r="AE14" s="154">
        <f t="shared" si="15"/>
        <v>6.204692311780724E-2</v>
      </c>
      <c r="AF14" s="154">
        <f t="shared" si="15"/>
        <v>6.1054736138884791E-2</v>
      </c>
      <c r="AG14" s="154">
        <f t="shared" si="15"/>
        <v>6.000389562912696E-2</v>
      </c>
      <c r="AH14" s="154">
        <f t="shared" si="15"/>
        <v>5.8466420188635577E-2</v>
      </c>
      <c r="AI14" s="154">
        <f t="shared" si="15"/>
        <v>5.7283009401315844E-2</v>
      </c>
      <c r="AJ14" s="154">
        <f t="shared" si="15"/>
        <v>5.6447291103393984E-2</v>
      </c>
      <c r="AK14" s="155">
        <f>AK12/AK5</f>
        <v>5.6431794579026945E-2</v>
      </c>
      <c r="AL14" s="155">
        <f>AL12/AL5</f>
        <v>5.6897927085726406E-2</v>
      </c>
    </row>
    <row r="15" spans="1:38">
      <c r="A15" s="156" t="s">
        <v>183</v>
      </c>
      <c r="B15" s="156"/>
      <c r="C15" s="156"/>
      <c r="D15" s="156"/>
      <c r="E15" s="156"/>
      <c r="F15" s="156"/>
      <c r="G15" s="156"/>
      <c r="I15" s="153"/>
      <c r="J15" s="153"/>
      <c r="K15" s="153"/>
      <c r="L15" s="157">
        <f t="shared" ref="L15:X15" si="16">$K14*L5-L12</f>
        <v>0.12055297894100114</v>
      </c>
      <c r="M15" s="157">
        <f t="shared" si="16"/>
        <v>0.23395551283719485</v>
      </c>
      <c r="N15" s="157">
        <f t="shared" si="16"/>
        <v>0.10685669274600329</v>
      </c>
      <c r="O15" s="157">
        <f t="shared" si="16"/>
        <v>0.80819305154701837</v>
      </c>
      <c r="P15" s="158">
        <f t="shared" si="16"/>
        <v>1.0206714576608888</v>
      </c>
      <c r="Q15" s="164">
        <f t="shared" si="16"/>
        <v>1.3486979419009515</v>
      </c>
      <c r="R15" s="164">
        <f t="shared" si="16"/>
        <v>1.8833436830679116</v>
      </c>
      <c r="S15" s="164">
        <f t="shared" si="16"/>
        <v>1.9462802029247719</v>
      </c>
      <c r="T15" s="165">
        <f t="shared" si="16"/>
        <v>1.6310428024784827</v>
      </c>
      <c r="U15" s="165">
        <f t="shared" si="16"/>
        <v>1.7375185659853685</v>
      </c>
      <c r="V15" s="165">
        <f t="shared" si="16"/>
        <v>2.861823847087166</v>
      </c>
      <c r="W15" s="165">
        <f t="shared" si="16"/>
        <v>3.7378184431539161</v>
      </c>
      <c r="X15" s="165">
        <f t="shared" si="16"/>
        <v>4.7273126368123251</v>
      </c>
      <c r="Y15" s="130"/>
      <c r="Z15" s="156" t="s">
        <v>183</v>
      </c>
      <c r="AA15" s="164"/>
      <c r="AG15" s="116"/>
      <c r="AH15" s="116"/>
      <c r="AI15" s="158"/>
      <c r="AJ15" s="158"/>
      <c r="AK15" s="165"/>
      <c r="AL15" s="165"/>
    </row>
    <row r="16" spans="1:38">
      <c r="A16" s="156"/>
      <c r="B16" s="156"/>
      <c r="C16" s="156"/>
      <c r="D16" s="156"/>
      <c r="E16" s="156"/>
      <c r="F16" s="156"/>
      <c r="G16" s="156"/>
      <c r="I16" s="95"/>
      <c r="J16" s="95"/>
      <c r="K16" s="95"/>
      <c r="L16" s="95"/>
      <c r="M16" s="95"/>
      <c r="N16" s="95"/>
      <c r="O16" s="95"/>
      <c r="P16" s="166"/>
      <c r="Q16" s="166"/>
      <c r="R16" s="89"/>
      <c r="S16" s="89"/>
      <c r="T16" s="152"/>
      <c r="U16" s="152"/>
      <c r="V16" s="152"/>
      <c r="W16" s="152"/>
      <c r="X16" s="152"/>
      <c r="Y16" s="130"/>
      <c r="Z16" s="156"/>
      <c r="AG16" s="116"/>
      <c r="AH16" s="116"/>
      <c r="AI16" s="154"/>
      <c r="AJ16" s="154"/>
      <c r="AK16" s="152"/>
      <c r="AL16" s="152"/>
    </row>
    <row r="17" spans="1:38">
      <c r="A17" t="s">
        <v>187</v>
      </c>
      <c r="B17" s="149">
        <f t="shared" ref="B17:T17" si="17">B12+B78</f>
        <v>7.1884429999999995</v>
      </c>
      <c r="C17" s="149">
        <f t="shared" si="17"/>
        <v>7.5437279999999998</v>
      </c>
      <c r="D17" s="149">
        <f t="shared" si="17"/>
        <v>8.2973520000000001</v>
      </c>
      <c r="E17" s="149">
        <f t="shared" si="17"/>
        <v>9.4394500000000008</v>
      </c>
      <c r="F17" s="149">
        <f t="shared" si="17"/>
        <v>9.591273000000001</v>
      </c>
      <c r="G17" s="149">
        <f t="shared" si="17"/>
        <v>9.5918139999999994</v>
      </c>
      <c r="H17" s="149">
        <f t="shared" si="17"/>
        <v>10.175785999999999</v>
      </c>
      <c r="I17" s="149">
        <f t="shared" si="17"/>
        <v>11.041304999999999</v>
      </c>
      <c r="J17" s="149">
        <f t="shared" si="17"/>
        <v>11.805066</v>
      </c>
      <c r="K17" s="149">
        <f t="shared" si="17"/>
        <v>12.599529</v>
      </c>
      <c r="L17" s="149">
        <f t="shared" si="17"/>
        <v>13.160468</v>
      </c>
      <c r="M17" s="149">
        <f t="shared" si="17"/>
        <v>13.565689000000001</v>
      </c>
      <c r="N17" s="149">
        <f t="shared" si="17"/>
        <v>13.883632</v>
      </c>
      <c r="O17" s="149">
        <f t="shared" si="17"/>
        <v>14.386838000000001</v>
      </c>
      <c r="P17" s="149">
        <f t="shared" si="17"/>
        <v>15.033728</v>
      </c>
      <c r="Q17" s="151">
        <f t="shared" si="17"/>
        <v>15.27984</v>
      </c>
      <c r="R17" s="151">
        <f t="shared" si="17"/>
        <v>15.904029</v>
      </c>
      <c r="S17" s="151">
        <f>S12+S78</f>
        <v>16.524763</v>
      </c>
      <c r="T17" s="150">
        <f t="shared" si="17"/>
        <v>17.929677000000002</v>
      </c>
      <c r="U17" s="150">
        <f>U12+U78</f>
        <v>19.870562999999997</v>
      </c>
      <c r="V17" s="150">
        <f>V12+V78</f>
        <v>19.149932</v>
      </c>
      <c r="W17" s="150">
        <f>W12+W78</f>
        <v>18.379231999999998</v>
      </c>
      <c r="X17" s="150">
        <f>X12+X78</f>
        <v>18.350328000000001</v>
      </c>
      <c r="Y17" s="130"/>
      <c r="Z17" t="s">
        <v>187</v>
      </c>
      <c r="AA17" s="149">
        <f t="shared" ref="AA17:AL17" si="18">AVERAGE(H17:J17)</f>
        <v>11.007385666666664</v>
      </c>
      <c r="AB17" s="149">
        <f t="shared" si="18"/>
        <v>11.815299999999999</v>
      </c>
      <c r="AC17" s="149">
        <f t="shared" si="18"/>
        <v>12.521687666666667</v>
      </c>
      <c r="AD17" s="149">
        <f t="shared" si="18"/>
        <v>13.108561999999999</v>
      </c>
      <c r="AE17" s="149">
        <f t="shared" si="18"/>
        <v>13.536596333333334</v>
      </c>
      <c r="AF17" s="149">
        <f t="shared" si="18"/>
        <v>13.945386333333333</v>
      </c>
      <c r="AG17" s="149">
        <f t="shared" si="18"/>
        <v>14.434732666666667</v>
      </c>
      <c r="AH17" s="149">
        <f t="shared" si="18"/>
        <v>14.900135333333333</v>
      </c>
      <c r="AI17" s="149">
        <f t="shared" si="18"/>
        <v>15.405865666666665</v>
      </c>
      <c r="AJ17" s="149">
        <f t="shared" si="18"/>
        <v>15.902877333333334</v>
      </c>
      <c r="AK17" s="150">
        <f t="shared" si="18"/>
        <v>16.786156333333334</v>
      </c>
      <c r="AL17" s="150">
        <f t="shared" si="18"/>
        <v>18.108334333333335</v>
      </c>
    </row>
    <row r="18" spans="1:38">
      <c r="A18" t="s">
        <v>188</v>
      </c>
      <c r="B18" s="153">
        <f>B17/B5</f>
        <v>5.8819934375792686E-2</v>
      </c>
      <c r="C18" s="153">
        <f t="shared" ref="C18:U18" si="19">C17/C5</f>
        <v>5.8026891480262147E-2</v>
      </c>
      <c r="D18" s="153">
        <f t="shared" si="19"/>
        <v>6.0499697404974226E-2</v>
      </c>
      <c r="E18" s="153">
        <f t="shared" si="19"/>
        <v>6.3958979849037173E-2</v>
      </c>
      <c r="F18" s="153">
        <f t="shared" si="19"/>
        <v>6.1171173641848542E-2</v>
      </c>
      <c r="G18" s="153">
        <f t="shared" si="19"/>
        <v>5.8267811148369528E-2</v>
      </c>
      <c r="H18" s="153">
        <f t="shared" si="19"/>
        <v>5.7912389733082908E-2</v>
      </c>
      <c r="I18" s="153">
        <f t="shared" si="19"/>
        <v>5.8403843407334531E-2</v>
      </c>
      <c r="J18" s="153">
        <f t="shared" si="19"/>
        <v>6.2278115998607254E-2</v>
      </c>
      <c r="K18" s="153">
        <f t="shared" si="19"/>
        <v>6.4043800480854757E-2</v>
      </c>
      <c r="L18" s="153">
        <f t="shared" si="19"/>
        <v>6.3938842437168714E-2</v>
      </c>
      <c r="M18" s="153">
        <f t="shared" si="19"/>
        <v>6.3060737910292347E-2</v>
      </c>
      <c r="N18" s="153">
        <f t="shared" si="19"/>
        <v>6.3466291210298231E-2</v>
      </c>
      <c r="O18" s="153">
        <f t="shared" si="19"/>
        <v>6.0775246914101778E-2</v>
      </c>
      <c r="P18" s="153">
        <f t="shared" si="19"/>
        <v>6.1413792821719486E-2</v>
      </c>
      <c r="Q18" s="154">
        <f t="shared" si="19"/>
        <v>5.9418331991740458E-2</v>
      </c>
      <c r="R18" s="154">
        <f t="shared" si="19"/>
        <v>5.8178518908715789E-2</v>
      </c>
      <c r="S18" s="154">
        <f t="shared" si="19"/>
        <v>5.7234166429991483E-2</v>
      </c>
      <c r="T18" s="155">
        <f t="shared" si="19"/>
        <v>5.9822820498276683E-2</v>
      </c>
      <c r="U18" s="155">
        <f t="shared" si="19"/>
        <v>6.2691667954959188E-2</v>
      </c>
      <c r="V18" s="155">
        <f>V17/V5</f>
        <v>5.7333580831654234E-2</v>
      </c>
      <c r="W18" s="155">
        <f>W17/W5</f>
        <v>5.2480603066731385E-2</v>
      </c>
      <c r="X18" s="155">
        <f>X17/X5</f>
        <v>5.0059819733310057E-2</v>
      </c>
      <c r="Y18" s="130"/>
      <c r="Z18" t="s">
        <v>188</v>
      </c>
      <c r="AA18" s="153">
        <f>AA17/AA5</f>
        <v>5.9572908905586169E-2</v>
      </c>
      <c r="AB18" s="153">
        <f t="shared" ref="AB18:AJ18" si="20">AB17/AB5</f>
        <v>6.1608828201856994E-2</v>
      </c>
      <c r="AC18" s="153">
        <f t="shared" si="20"/>
        <v>6.3442067094961127E-2</v>
      </c>
      <c r="AD18" s="153">
        <f t="shared" si="20"/>
        <v>6.3666453504467507E-2</v>
      </c>
      <c r="AE18" s="153">
        <f t="shared" si="20"/>
        <v>6.3481957336651532E-2</v>
      </c>
      <c r="AF18" s="153">
        <f t="shared" si="20"/>
        <v>6.2386253185584821E-2</v>
      </c>
      <c r="AG18" s="153">
        <f t="shared" si="20"/>
        <v>6.1839111088262844E-2</v>
      </c>
      <c r="AH18" s="153">
        <f t="shared" si="20"/>
        <v>6.0514471220688988E-2</v>
      </c>
      <c r="AI18" s="153">
        <f t="shared" si="20"/>
        <v>5.961122611783308E-2</v>
      </c>
      <c r="AJ18" s="153">
        <f t="shared" si="20"/>
        <v>5.8234877234526923E-2</v>
      </c>
      <c r="AK18" s="155">
        <f>AK17/AK5</f>
        <v>5.8433987660724461E-2</v>
      </c>
      <c r="AL18" s="155">
        <f>AL17/AL5</f>
        <v>6.0001637964550172E-2</v>
      </c>
    </row>
    <row r="19" spans="1:38">
      <c r="A19" s="156"/>
      <c r="B19" s="156"/>
      <c r="C19" s="156"/>
      <c r="D19" s="156"/>
      <c r="E19" s="156"/>
      <c r="F19" s="156"/>
      <c r="G19" s="156"/>
      <c r="I19" s="153"/>
      <c r="J19" s="153"/>
      <c r="K19" s="149"/>
      <c r="L19" s="149"/>
      <c r="M19" s="149"/>
      <c r="N19" s="149"/>
      <c r="O19" s="149"/>
      <c r="P19" s="149"/>
      <c r="Q19" s="118"/>
      <c r="R19" s="118"/>
      <c r="S19" s="118"/>
      <c r="T19" s="152"/>
      <c r="U19" s="152"/>
      <c r="V19" s="152"/>
      <c r="W19" s="152"/>
      <c r="X19" s="152"/>
      <c r="Y19" s="130"/>
      <c r="AG19" s="116"/>
      <c r="AH19" s="116"/>
      <c r="AI19" s="154"/>
      <c r="AJ19" s="154"/>
      <c r="AK19" s="152"/>
      <c r="AL19" s="152"/>
    </row>
    <row r="20" spans="1:38">
      <c r="A20" s="109" t="s">
        <v>189</v>
      </c>
      <c r="B20" s="38"/>
      <c r="C20" s="38">
        <v>2002</v>
      </c>
      <c r="D20" s="38">
        <v>2003</v>
      </c>
      <c r="E20" s="38">
        <v>2004</v>
      </c>
      <c r="F20" s="38">
        <v>2005</v>
      </c>
      <c r="G20" s="38">
        <v>2006</v>
      </c>
      <c r="H20" s="38">
        <v>2007</v>
      </c>
      <c r="I20" s="38">
        <v>2008</v>
      </c>
      <c r="J20" s="38">
        <v>2009</v>
      </c>
      <c r="K20" s="38">
        <v>2010</v>
      </c>
      <c r="L20" s="38">
        <v>2011</v>
      </c>
      <c r="M20" s="38">
        <v>2012</v>
      </c>
      <c r="N20" s="38">
        <v>2013</v>
      </c>
      <c r="O20" s="38">
        <v>2014</v>
      </c>
      <c r="P20" s="147">
        <v>2015</v>
      </c>
      <c r="Q20" s="147">
        <v>2016</v>
      </c>
      <c r="R20" s="147">
        <v>2017</v>
      </c>
      <c r="S20" s="147">
        <v>2018</v>
      </c>
      <c r="T20" s="148">
        <v>2019</v>
      </c>
      <c r="U20" s="148">
        <v>2020</v>
      </c>
      <c r="V20" s="148">
        <v>2021</v>
      </c>
      <c r="W20" s="148">
        <v>2022</v>
      </c>
      <c r="X20" s="148">
        <v>2023</v>
      </c>
      <c r="Z20" s="109" t="s">
        <v>189</v>
      </c>
      <c r="AA20" s="38"/>
      <c r="AB20" s="38">
        <v>2010</v>
      </c>
      <c r="AC20" s="38">
        <v>2011</v>
      </c>
      <c r="AD20" s="38">
        <v>2012</v>
      </c>
      <c r="AE20" s="38">
        <v>2013</v>
      </c>
      <c r="AF20" s="38">
        <v>2014</v>
      </c>
      <c r="AG20" s="147">
        <v>2015</v>
      </c>
      <c r="AH20" s="147">
        <v>2016</v>
      </c>
      <c r="AI20" s="147">
        <v>2017</v>
      </c>
      <c r="AJ20" s="147">
        <v>2018</v>
      </c>
      <c r="AK20" s="148">
        <v>2019</v>
      </c>
      <c r="AL20" s="148">
        <v>2020</v>
      </c>
    </row>
    <row r="21" spans="1:38">
      <c r="A21" t="s">
        <v>184</v>
      </c>
      <c r="B21" s="38"/>
      <c r="C21" s="89">
        <f>C12/B12-1</f>
        <v>2.3543754106583048E-2</v>
      </c>
      <c r="D21" s="89">
        <f t="shared" ref="D21:X21" si="21">D12/C12-1</f>
        <v>6.9764932465403273E-2</v>
      </c>
      <c r="E21" s="89">
        <f t="shared" si="21"/>
        <v>9.8475165120060604E-2</v>
      </c>
      <c r="F21" s="89">
        <f t="shared" si="21"/>
        <v>9.2834638420636217E-2</v>
      </c>
      <c r="G21" s="89">
        <f t="shared" si="21"/>
        <v>-2.8479082775912268E-2</v>
      </c>
      <c r="H21" s="89">
        <f t="shared" si="21"/>
        <v>8.3299787913824197E-2</v>
      </c>
      <c r="I21" s="89">
        <f t="shared" si="21"/>
        <v>9.2795222527841004E-2</v>
      </c>
      <c r="J21" s="89">
        <f t="shared" si="21"/>
        <v>7.8673465068300974E-2</v>
      </c>
      <c r="K21" s="89">
        <f t="shared" si="21"/>
        <v>6.2714412504895733E-2</v>
      </c>
      <c r="L21" s="89">
        <f t="shared" si="21"/>
        <v>3.6472742903547406E-2</v>
      </c>
      <c r="M21" s="89">
        <f t="shared" si="21"/>
        <v>3.6709183175182458E-2</v>
      </c>
      <c r="N21" s="89">
        <f t="shared" si="21"/>
        <v>2.677418413993915E-2</v>
      </c>
      <c r="O21" s="89">
        <f t="shared" si="21"/>
        <v>3.1294365478693908E-2</v>
      </c>
      <c r="P21" s="89">
        <f t="shared" si="21"/>
        <v>2.0937900299820456E-2</v>
      </c>
      <c r="Q21" s="89">
        <f t="shared" si="21"/>
        <v>3.1229609040117623E-2</v>
      </c>
      <c r="R21" s="118">
        <f t="shared" si="21"/>
        <v>3.2635509939856311E-2</v>
      </c>
      <c r="S21" s="118">
        <f t="shared" si="21"/>
        <v>5.8979474814653932E-2</v>
      </c>
      <c r="T21" s="152">
        <f t="shared" si="21"/>
        <v>6.2135615755976259E-2</v>
      </c>
      <c r="U21" s="152">
        <f t="shared" si="21"/>
        <v>5.6799731616498317E-2</v>
      </c>
      <c r="V21" s="152">
        <f t="shared" si="21"/>
        <v>-2.9730771378667642E-3</v>
      </c>
      <c r="W21" s="152">
        <f t="shared" si="21"/>
        <v>7.7837746589723977E-3</v>
      </c>
      <c r="X21" s="152">
        <f t="shared" si="21"/>
        <v>2.0426753450724089E-3</v>
      </c>
      <c r="Z21" t="s">
        <v>184</v>
      </c>
      <c r="AA21" s="38"/>
      <c r="AB21" s="89">
        <f>AB12/AA12-1</f>
        <v>7.7239813856639694E-2</v>
      </c>
      <c r="AC21" s="89">
        <f t="shared" ref="AC21:AL21" si="22">AC12/AB12-1</f>
        <v>5.8335384000101742E-2</v>
      </c>
      <c r="AD21" s="89">
        <f t="shared" si="22"/>
        <v>4.4848381364040124E-2</v>
      </c>
      <c r="AE21" s="89">
        <f t="shared" si="22"/>
        <v>3.3201685232439049E-2</v>
      </c>
      <c r="AF21" s="89">
        <f t="shared" si="22"/>
        <v>3.1529342252625714E-2</v>
      </c>
      <c r="AG21" s="89">
        <f t="shared" si="22"/>
        <v>2.6275469860779221E-2</v>
      </c>
      <c r="AH21" s="89">
        <f t="shared" si="22"/>
        <v>2.7809244988130422E-2</v>
      </c>
      <c r="AI21" s="89">
        <f t="shared" si="22"/>
        <v>2.8362908898362127E-2</v>
      </c>
      <c r="AJ21" s="89">
        <f t="shared" si="22"/>
        <v>4.1242226201633203E-2</v>
      </c>
      <c r="AK21" s="152">
        <f t="shared" si="22"/>
        <v>5.1656597251272363E-2</v>
      </c>
      <c r="AL21" s="152">
        <f t="shared" si="22"/>
        <v>5.9259193612597461E-2</v>
      </c>
    </row>
    <row r="22" spans="1:38">
      <c r="A22" t="s">
        <v>177</v>
      </c>
      <c r="B22" s="89"/>
      <c r="C22" s="89">
        <f t="shared" ref="C22:X24" si="23">C3/B3-1</f>
        <v>5.5855855855855729E-2</v>
      </c>
      <c r="D22" s="89">
        <f t="shared" si="23"/>
        <v>6.6695108077360787E-2</v>
      </c>
      <c r="E22" s="89">
        <f t="shared" si="23"/>
        <v>8.1322490334622133E-2</v>
      </c>
      <c r="F22" s="89">
        <f t="shared" si="23"/>
        <v>8.6549130810011032E-2</v>
      </c>
      <c r="G22" s="89">
        <f t="shared" si="23"/>
        <v>8.3286054691932287E-2</v>
      </c>
      <c r="H22" s="89">
        <f t="shared" si="23"/>
        <v>8.4633916413533017E-2</v>
      </c>
      <c r="I22" s="89">
        <f t="shared" si="23"/>
        <v>9.0970545630130406E-2</v>
      </c>
      <c r="J22" s="89">
        <f t="shared" si="23"/>
        <v>9.4803930246968093E-2</v>
      </c>
      <c r="K22" s="89">
        <f t="shared" si="23"/>
        <v>6.1448900388098249E-2</v>
      </c>
      <c r="L22" s="89">
        <f t="shared" si="23"/>
        <v>4.760816575258997E-2</v>
      </c>
      <c r="M22" s="89">
        <f t="shared" si="23"/>
        <v>2.9593543226932306E-2</v>
      </c>
      <c r="N22" s="89">
        <f t="shared" si="23"/>
        <v>2.3870056497174996E-2</v>
      </c>
      <c r="O22" s="89">
        <f t="shared" si="23"/>
        <v>2.7590012415505516E-2</v>
      </c>
      <c r="P22" s="118">
        <f t="shared" si="23"/>
        <v>1.0739696603570881E-2</v>
      </c>
      <c r="Q22" s="118">
        <f t="shared" si="23"/>
        <v>3.7720812856953057E-2</v>
      </c>
      <c r="R22" s="118">
        <f t="shared" si="23"/>
        <v>3.8205554844489953E-2</v>
      </c>
      <c r="S22" s="118">
        <f t="shared" si="23"/>
        <v>5.7695863896936483E-2</v>
      </c>
      <c r="T22" s="152">
        <f t="shared" si="23"/>
        <v>6.5155312081123684E-2</v>
      </c>
      <c r="U22" s="152">
        <f t="shared" si="23"/>
        <v>5.0391202057230355E-2</v>
      </c>
      <c r="V22" s="152">
        <f t="shared" si="23"/>
        <v>-4.1150119804146401E-3</v>
      </c>
      <c r="W22" s="152">
        <f t="shared" si="23"/>
        <v>7.0610387572571653E-3</v>
      </c>
      <c r="X22" s="152">
        <f t="shared" si="23"/>
        <v>1.5061805339149359E-3</v>
      </c>
      <c r="Z22" t="s">
        <v>177</v>
      </c>
      <c r="AA22" s="89"/>
      <c r="AB22" s="89">
        <f>AB3/AA3-1</f>
        <v>8.151087595532025E-2</v>
      </c>
      <c r="AC22" s="89">
        <f t="shared" ref="AB22:AL24" si="24">AC3/AB3-1</f>
        <v>6.6751827793330332E-2</v>
      </c>
      <c r="AD22" s="89">
        <f t="shared" si="24"/>
        <v>4.5657214196539897E-2</v>
      </c>
      <c r="AE22" s="89">
        <f t="shared" si="24"/>
        <v>3.3381252893448066E-2</v>
      </c>
      <c r="AF22" s="89">
        <f t="shared" si="24"/>
        <v>2.6997712857513401E-2</v>
      </c>
      <c r="AG22" s="89">
        <f t="shared" si="24"/>
        <v>2.0617136559831106E-2</v>
      </c>
      <c r="AH22" s="89">
        <f t="shared" si="24"/>
        <v>2.5374544472938299E-2</v>
      </c>
      <c r="AI22" s="89">
        <f t="shared" si="24"/>
        <v>2.906849194857597E-2</v>
      </c>
      <c r="AJ22" s="89">
        <f t="shared" si="24"/>
        <v>4.4790756177116364E-2</v>
      </c>
      <c r="AK22" s="152">
        <f t="shared" si="24"/>
        <v>5.4093209271955489E-2</v>
      </c>
      <c r="AL22" s="152">
        <f t="shared" si="24"/>
        <v>5.7589190654097067E-2</v>
      </c>
    </row>
    <row r="23" spans="1:38">
      <c r="A23" t="s">
        <v>178</v>
      </c>
      <c r="B23" s="89"/>
      <c r="C23" s="89">
        <f t="shared" si="23"/>
        <v>2.6094805656609932E-2</v>
      </c>
      <c r="D23" s="89">
        <f t="shared" si="23"/>
        <v>6.3551302215232086E-2</v>
      </c>
      <c r="E23" s="89">
        <f t="shared" si="23"/>
        <v>4.9753114269243337E-2</v>
      </c>
      <c r="F23" s="89">
        <f t="shared" si="23"/>
        <v>7.1940212979322959E-2</v>
      </c>
      <c r="G23" s="89">
        <f t="shared" si="23"/>
        <v>9.3306604298919682E-2</v>
      </c>
      <c r="H23" s="89">
        <f t="shared" si="23"/>
        <v>9.5346752505908183E-2</v>
      </c>
      <c r="I23" s="89">
        <f t="shared" si="23"/>
        <v>5.5594821813853113E-2</v>
      </c>
      <c r="J23" s="89">
        <f t="shared" si="23"/>
        <v>0.12260144838158338</v>
      </c>
      <c r="K23" s="89">
        <f t="shared" si="23"/>
        <v>-2.464252640831166E-3</v>
      </c>
      <c r="L23" s="89">
        <f t="shared" si="23"/>
        <v>0.1029832898007994</v>
      </c>
      <c r="M23" s="89">
        <f t="shared" si="23"/>
        <v>-1.654802493616192E-2</v>
      </c>
      <c r="N23" s="89">
        <f t="shared" si="23"/>
        <v>1.4839205674582079E-2</v>
      </c>
      <c r="O23" s="89">
        <f t="shared" si="23"/>
        <v>1.7323690003144598E-2</v>
      </c>
      <c r="P23" s="118">
        <f t="shared" si="23"/>
        <v>1.6705538539354192E-2</v>
      </c>
      <c r="Q23" s="118">
        <f t="shared" si="23"/>
        <v>2.1640893826955887E-2</v>
      </c>
      <c r="R23" s="118">
        <f t="shared" si="23"/>
        <v>3.2598844837614438E-2</v>
      </c>
      <c r="S23" s="118">
        <f t="shared" si="23"/>
        <v>5.5502429950615051E-2</v>
      </c>
      <c r="T23" s="152">
        <f t="shared" si="23"/>
        <v>8.3449166004765818E-2</v>
      </c>
      <c r="U23" s="152">
        <f t="shared" si="23"/>
        <v>6.8293241695303486E-2</v>
      </c>
      <c r="V23" s="152">
        <f t="shared" si="23"/>
        <v>6.0356844159464851E-2</v>
      </c>
      <c r="W23" s="152">
        <f t="shared" si="23"/>
        <v>2.8263441566977798E-2</v>
      </c>
      <c r="X23" s="152">
        <f t="shared" si="23"/>
        <v>3.9798989044706135E-2</v>
      </c>
      <c r="Z23" t="s">
        <v>178</v>
      </c>
      <c r="AA23" s="89"/>
      <c r="AB23" s="89">
        <f>AB4/AA4-1</f>
        <v>5.6190738572445387E-2</v>
      </c>
      <c r="AC23" s="89">
        <f t="shared" si="24"/>
        <v>7.2525513808431752E-2</v>
      </c>
      <c r="AD23" s="89">
        <f t="shared" si="24"/>
        <v>2.6489126689771325E-2</v>
      </c>
      <c r="AE23" s="89">
        <f t="shared" si="24"/>
        <v>3.1630074237877004E-2</v>
      </c>
      <c r="AF23" s="89">
        <f t="shared" si="24"/>
        <v>5.1435406698565611E-3</v>
      </c>
      <c r="AG23" s="89">
        <f t="shared" si="24"/>
        <v>1.6298940854456712E-2</v>
      </c>
      <c r="AH23" s="89">
        <f t="shared" si="24"/>
        <v>1.8580883282825589E-2</v>
      </c>
      <c r="AI23" s="89">
        <f t="shared" si="24"/>
        <v>2.3750839211646779E-2</v>
      </c>
      <c r="AJ23" s="89">
        <f t="shared" si="24"/>
        <v>3.689063966832995E-2</v>
      </c>
      <c r="AK23" s="152">
        <f t="shared" si="24"/>
        <v>5.7922233196444184E-2</v>
      </c>
      <c r="AL23" s="152">
        <f t="shared" si="24"/>
        <v>6.929549781954436E-2</v>
      </c>
    </row>
    <row r="24" spans="1:38">
      <c r="A24" t="s">
        <v>179</v>
      </c>
      <c r="B24" s="89"/>
      <c r="C24" s="89">
        <f t="shared" si="23"/>
        <v>6.376676403924364E-2</v>
      </c>
      <c r="D24" s="89">
        <f t="shared" si="23"/>
        <v>5.4944463247284636E-2</v>
      </c>
      <c r="E24" s="89">
        <f t="shared" si="23"/>
        <v>7.6115409013686186E-2</v>
      </c>
      <c r="F24" s="89">
        <f t="shared" si="23"/>
        <v>6.2390741669263949E-2</v>
      </c>
      <c r="G24" s="89">
        <f t="shared" si="23"/>
        <v>4.9887113027284213E-2</v>
      </c>
      <c r="H24" s="89">
        <f t="shared" si="23"/>
        <v>6.7393206006706396E-2</v>
      </c>
      <c r="I24" s="89">
        <f t="shared" si="23"/>
        <v>7.592624210346588E-2</v>
      </c>
      <c r="J24" s="89">
        <f t="shared" si="23"/>
        <v>2.6606577061216719E-3</v>
      </c>
      <c r="K24" s="89">
        <f t="shared" si="23"/>
        <v>3.787311267501603E-2</v>
      </c>
      <c r="L24" s="89">
        <f t="shared" si="23"/>
        <v>4.6235252855392872E-2</v>
      </c>
      <c r="M24" s="89">
        <f t="shared" si="23"/>
        <v>4.5144270243746121E-2</v>
      </c>
      <c r="N24" s="89">
        <f t="shared" si="23"/>
        <v>1.689746700694017E-2</v>
      </c>
      <c r="O24" s="89">
        <f t="shared" si="23"/>
        <v>8.2128033059664762E-2</v>
      </c>
      <c r="P24" s="118">
        <f t="shared" si="23"/>
        <v>3.4099069794949255E-2</v>
      </c>
      <c r="Q24" s="118">
        <f t="shared" si="23"/>
        <v>5.0503688815902281E-2</v>
      </c>
      <c r="R24" s="118">
        <f t="shared" si="23"/>
        <v>6.3031533265670348E-2</v>
      </c>
      <c r="S24" s="118">
        <f t="shared" si="23"/>
        <v>5.6173774353796668E-2</v>
      </c>
      <c r="T24" s="152">
        <f t="shared" si="23"/>
        <v>3.80677606832871E-2</v>
      </c>
      <c r="U24" s="152">
        <f t="shared" si="23"/>
        <v>5.7535041856709546E-2</v>
      </c>
      <c r="V24" s="152">
        <f t="shared" si="23"/>
        <v>5.3799095776398742E-2</v>
      </c>
      <c r="W24" s="152">
        <f t="shared" si="23"/>
        <v>4.8504681011589446E-2</v>
      </c>
      <c r="X24" s="152">
        <f t="shared" si="23"/>
        <v>4.6709117386710908E-2</v>
      </c>
      <c r="Z24" t="s">
        <v>179</v>
      </c>
      <c r="AA24" s="89"/>
      <c r="AB24" s="89">
        <f t="shared" si="24"/>
        <v>3.792608895664018E-2</v>
      </c>
      <c r="AC24" s="89">
        <f t="shared" si="24"/>
        <v>2.9161988257337512E-2</v>
      </c>
      <c r="AD24" s="89">
        <f t="shared" si="24"/>
        <v>4.3179039242310591E-2</v>
      </c>
      <c r="AE24" s="89">
        <f t="shared" si="24"/>
        <v>3.5654210978770751E-2</v>
      </c>
      <c r="AF24" s="89">
        <f t="shared" si="24"/>
        <v>4.829249686574788E-2</v>
      </c>
      <c r="AG24" s="118">
        <f t="shared" si="24"/>
        <v>4.4248500221443665E-2</v>
      </c>
      <c r="AH24" s="118">
        <f t="shared" si="24"/>
        <v>5.483726323485727E-2</v>
      </c>
      <c r="AI24" s="118">
        <f t="shared" si="24"/>
        <v>4.960787791079424E-2</v>
      </c>
      <c r="AJ24" s="118">
        <f t="shared" si="24"/>
        <v>5.6658115325731062E-2</v>
      </c>
      <c r="AK24" s="152">
        <f t="shared" si="24"/>
        <v>5.1945388742073551E-2</v>
      </c>
      <c r="AL24" s="152">
        <f t="shared" si="24"/>
        <v>5.0581282685910001E-2</v>
      </c>
    </row>
    <row r="25" spans="1:38">
      <c r="G25" s="167"/>
      <c r="H25" s="167"/>
      <c r="I25" s="167"/>
      <c r="J25" s="167"/>
      <c r="K25" s="167"/>
      <c r="L25" s="167"/>
      <c r="M25" s="167"/>
      <c r="N25" s="167"/>
      <c r="O25" s="167"/>
      <c r="P25" s="167"/>
      <c r="Q25" s="167"/>
      <c r="R25" s="167"/>
      <c r="S25" s="167"/>
      <c r="T25" s="167"/>
      <c r="U25" s="167"/>
      <c r="V25" s="167"/>
      <c r="W25" s="167"/>
      <c r="X25" s="167"/>
    </row>
    <row r="26" spans="1:38">
      <c r="G26" s="167"/>
      <c r="Q26" s="109" t="s">
        <v>190</v>
      </c>
      <c r="R26" s="119"/>
      <c r="S26" s="119"/>
      <c r="T26" s="119"/>
    </row>
    <row r="27" spans="1:38">
      <c r="B27" s="9"/>
      <c r="C27" s="9"/>
      <c r="D27" s="9"/>
      <c r="E27" s="9"/>
      <c r="F27" s="9"/>
      <c r="G27" s="168"/>
      <c r="H27" s="9"/>
      <c r="I27" s="9"/>
      <c r="J27" s="9"/>
      <c r="K27" s="9"/>
      <c r="L27" s="9"/>
      <c r="Q27" t="s">
        <v>191</v>
      </c>
      <c r="S27" s="169">
        <f>R14*S5-R12</f>
        <v>0.85807299677355608</v>
      </c>
      <c r="T27" s="95"/>
      <c r="U27" s="95"/>
      <c r="V27" s="95"/>
      <c r="W27" s="95"/>
      <c r="X27" s="95"/>
    </row>
    <row r="28" spans="1:38">
      <c r="B28" s="170"/>
      <c r="C28" s="171"/>
      <c r="D28" s="171"/>
      <c r="E28" s="171"/>
      <c r="F28" s="171"/>
      <c r="G28" s="171"/>
      <c r="H28" s="171"/>
      <c r="I28" s="171"/>
      <c r="J28" s="171"/>
      <c r="K28" s="171"/>
      <c r="L28" s="171"/>
      <c r="Q28" t="s">
        <v>192</v>
      </c>
      <c r="S28" s="130">
        <f>K14*S5-S12</f>
        <v>1.9462802029247719</v>
      </c>
    </row>
    <row r="29" spans="1:38">
      <c r="B29" s="172"/>
      <c r="C29" s="173"/>
      <c r="D29" s="173"/>
      <c r="E29" s="173"/>
      <c r="F29" s="173"/>
      <c r="G29" s="173"/>
      <c r="H29" s="173"/>
      <c r="I29" s="173"/>
      <c r="J29" s="173"/>
      <c r="K29" s="173"/>
      <c r="L29" s="173"/>
    </row>
    <row r="30" spans="1:38">
      <c r="B30" s="174"/>
      <c r="C30" s="175"/>
      <c r="D30" s="175"/>
      <c r="E30" s="175"/>
      <c r="F30" s="175"/>
      <c r="G30" s="175"/>
      <c r="H30" s="175"/>
      <c r="I30" s="175"/>
      <c r="J30" s="175"/>
      <c r="K30" s="175"/>
      <c r="L30" s="175"/>
      <c r="Q30" s="130">
        <f>Q5/'[3]Data 2'!$D$11</f>
        <v>1.0281086904738819</v>
      </c>
      <c r="R30" s="176">
        <f>R5*$Q$30</f>
        <v>281.04996028008316</v>
      </c>
      <c r="S30" s="176">
        <f>S5*$Q$30</f>
        <v>296.8375973310001</v>
      </c>
    </row>
    <row r="31" spans="1:38">
      <c r="B31" s="174"/>
      <c r="C31" s="177"/>
      <c r="D31" s="177"/>
      <c r="E31" s="177"/>
      <c r="F31" s="177"/>
      <c r="G31" s="177"/>
      <c r="H31" s="177"/>
      <c r="I31" s="177"/>
      <c r="J31" s="177"/>
      <c r="K31" s="177"/>
      <c r="L31" s="177"/>
      <c r="R31" s="153">
        <f>R12/R30</f>
        <v>5.4350945236844063E-2</v>
      </c>
    </row>
    <row r="32" spans="1:38">
      <c r="B32" s="174"/>
      <c r="C32" s="177"/>
      <c r="D32" s="177"/>
      <c r="E32" s="177"/>
      <c r="F32" s="177"/>
      <c r="G32" s="177"/>
      <c r="H32" s="177"/>
      <c r="I32" s="177"/>
      <c r="J32" s="177"/>
      <c r="K32" s="177"/>
      <c r="L32" s="177"/>
    </row>
    <row r="33" spans="2:34">
      <c r="B33" s="174"/>
      <c r="C33" s="177"/>
      <c r="D33" s="177"/>
      <c r="E33" s="177"/>
      <c r="F33" s="177"/>
      <c r="G33" s="177"/>
      <c r="H33" s="177"/>
      <c r="I33" s="177"/>
      <c r="J33" s="177"/>
      <c r="K33" s="177"/>
      <c r="L33" s="177"/>
      <c r="R33" s="178"/>
      <c r="S33" s="178"/>
      <c r="T33" s="95"/>
      <c r="U33" s="95"/>
      <c r="V33" s="95"/>
      <c r="W33" s="95"/>
      <c r="X33" s="95"/>
      <c r="Y33" s="95"/>
    </row>
    <row r="34" spans="2:34">
      <c r="B34" s="171"/>
      <c r="C34" s="179"/>
      <c r="D34" s="179"/>
      <c r="E34" s="179"/>
      <c r="F34" s="179"/>
      <c r="G34" s="179"/>
      <c r="H34" s="179"/>
      <c r="I34" s="179"/>
      <c r="J34" s="179"/>
      <c r="K34" s="179"/>
      <c r="L34" s="179"/>
      <c r="R34" s="95"/>
      <c r="S34" s="95"/>
      <c r="T34" s="95"/>
      <c r="U34" s="95"/>
      <c r="V34" s="95"/>
    </row>
    <row r="35" spans="2:34">
      <c r="B35" s="9"/>
      <c r="C35" s="9"/>
      <c r="D35" s="9"/>
      <c r="E35" s="9"/>
      <c r="F35" s="9"/>
      <c r="G35" s="168"/>
      <c r="H35" s="9"/>
      <c r="I35" s="9"/>
      <c r="J35" s="9"/>
      <c r="K35" s="9"/>
      <c r="L35" s="9"/>
      <c r="R35" s="180"/>
    </row>
    <row r="36" spans="2:34">
      <c r="G36" s="167"/>
      <c r="Q36" s="95"/>
      <c r="R36" s="95"/>
      <c r="S36" s="95"/>
      <c r="T36" s="95"/>
      <c r="U36" s="95"/>
      <c r="V36" s="95"/>
      <c r="W36" s="95"/>
      <c r="X36" s="95"/>
      <c r="Y36" s="95"/>
      <c r="Z36" s="95"/>
      <c r="AA36" s="95"/>
      <c r="AB36" s="95"/>
      <c r="AC36" s="95"/>
      <c r="AD36" s="95"/>
      <c r="AE36" s="95"/>
      <c r="AF36" s="95"/>
      <c r="AG36" s="95"/>
      <c r="AH36" s="95"/>
    </row>
    <row r="49" spans="16:29" ht="16.5">
      <c r="AA49" s="181" t="s">
        <v>193</v>
      </c>
      <c r="AB49" s="181" t="s">
        <v>194</v>
      </c>
      <c r="AC49" s="181" t="s">
        <v>195</v>
      </c>
    </row>
    <row r="50" spans="16:29">
      <c r="AA50" s="182">
        <v>185</v>
      </c>
      <c r="AB50" s="182">
        <v>185</v>
      </c>
      <c r="AC50" s="182">
        <v>185</v>
      </c>
    </row>
    <row r="51" spans="16:29">
      <c r="AA51" s="183">
        <v>14261</v>
      </c>
      <c r="AB51" s="183">
        <v>14249</v>
      </c>
      <c r="AC51" s="183">
        <v>14247</v>
      </c>
    </row>
    <row r="52" spans="16:29">
      <c r="AA52" s="184">
        <v>354</v>
      </c>
      <c r="AB52" s="184">
        <v>367</v>
      </c>
      <c r="AC52" s="184">
        <v>367</v>
      </c>
    </row>
    <row r="53" spans="16:29">
      <c r="AA53" s="184">
        <v>838</v>
      </c>
      <c r="AB53" s="184">
        <v>905</v>
      </c>
      <c r="AC53" s="184">
        <v>905</v>
      </c>
    </row>
    <row r="54" spans="16:29">
      <c r="AA54" s="185">
        <v>30</v>
      </c>
      <c r="AB54" s="185">
        <v>29</v>
      </c>
      <c r="AC54" s="185">
        <v>29</v>
      </c>
    </row>
    <row r="55" spans="16:29">
      <c r="AA55" s="186">
        <v>15668</v>
      </c>
      <c r="AB55" s="186">
        <v>15735</v>
      </c>
      <c r="AC55" s="186">
        <v>15733</v>
      </c>
    </row>
    <row r="57" spans="16:29">
      <c r="P57" s="53"/>
    </row>
    <row r="58" spans="16:29">
      <c r="P58" s="53"/>
    </row>
    <row r="66" spans="1:27">
      <c r="B66" s="187" t="s">
        <v>175</v>
      </c>
      <c r="C66" s="187"/>
      <c r="D66" s="187"/>
      <c r="E66" s="187"/>
      <c r="F66" s="187"/>
      <c r="G66" s="187"/>
      <c r="H66" s="187"/>
      <c r="I66" s="187"/>
      <c r="J66" s="187"/>
      <c r="K66" s="187"/>
      <c r="L66" s="187"/>
      <c r="M66" s="187"/>
      <c r="N66" s="187"/>
      <c r="O66" s="187"/>
      <c r="P66" s="187"/>
      <c r="Q66" s="187"/>
      <c r="R66" s="144"/>
      <c r="S66" s="144"/>
      <c r="T66" s="144"/>
      <c r="U66" s="144"/>
      <c r="V66" s="144"/>
      <c r="W66" s="144"/>
      <c r="X66" s="144"/>
    </row>
    <row r="67" spans="1:27">
      <c r="B67" s="144" t="s">
        <v>126</v>
      </c>
      <c r="C67" s="144" t="s">
        <v>126</v>
      </c>
      <c r="D67" s="144" t="s">
        <v>126</v>
      </c>
      <c r="E67" s="144" t="s">
        <v>126</v>
      </c>
      <c r="F67" s="144" t="s">
        <v>126</v>
      </c>
      <c r="G67" s="144" t="s">
        <v>126</v>
      </c>
      <c r="H67" s="144" t="s">
        <v>126</v>
      </c>
      <c r="I67" s="144" t="s">
        <v>126</v>
      </c>
      <c r="J67" s="144" t="s">
        <v>126</v>
      </c>
      <c r="K67" s="144" t="s">
        <v>126</v>
      </c>
      <c r="L67" s="144" t="s">
        <v>126</v>
      </c>
      <c r="M67" s="144" t="s">
        <v>126</v>
      </c>
      <c r="N67" s="144" t="s">
        <v>126</v>
      </c>
      <c r="O67" s="144" t="s">
        <v>126</v>
      </c>
      <c r="P67" s="144" t="s">
        <v>126</v>
      </c>
      <c r="Q67" s="144" t="s">
        <v>126</v>
      </c>
      <c r="R67" s="144" t="s">
        <v>126</v>
      </c>
      <c r="S67" s="144" t="s">
        <v>126</v>
      </c>
      <c r="T67" s="145" t="s">
        <v>7</v>
      </c>
      <c r="U67" s="145" t="s">
        <v>7</v>
      </c>
      <c r="V67" s="145" t="s">
        <v>7</v>
      </c>
      <c r="W67" s="145" t="s">
        <v>7</v>
      </c>
      <c r="X67" s="145" t="s">
        <v>7</v>
      </c>
    </row>
    <row r="68" spans="1:27">
      <c r="B68" s="38">
        <v>2001</v>
      </c>
      <c r="C68" s="38">
        <v>2002</v>
      </c>
      <c r="D68" s="38">
        <v>2003</v>
      </c>
      <c r="E68" s="38">
        <v>2004</v>
      </c>
      <c r="F68" s="38">
        <v>2005</v>
      </c>
      <c r="G68" s="38">
        <v>2006</v>
      </c>
      <c r="H68" s="38">
        <v>2007</v>
      </c>
      <c r="I68" s="38">
        <v>2008</v>
      </c>
      <c r="J68" s="38">
        <v>2009</v>
      </c>
      <c r="K68" s="38">
        <v>2010</v>
      </c>
      <c r="L68" s="38">
        <v>2011</v>
      </c>
      <c r="M68" s="38">
        <v>2012</v>
      </c>
      <c r="N68" s="38">
        <v>2013</v>
      </c>
      <c r="O68" s="38">
        <v>2014</v>
      </c>
      <c r="P68" s="147">
        <v>2015</v>
      </c>
      <c r="Q68" s="147">
        <v>2016</v>
      </c>
      <c r="R68" s="147">
        <v>2017</v>
      </c>
      <c r="S68" s="147">
        <v>2018</v>
      </c>
      <c r="T68" s="148">
        <v>2019</v>
      </c>
      <c r="U68" s="148">
        <v>2020</v>
      </c>
      <c r="V68" s="148">
        <v>2021</v>
      </c>
      <c r="W68" s="148">
        <v>2022</v>
      </c>
      <c r="X68" s="148">
        <v>2023</v>
      </c>
    </row>
    <row r="69" spans="1:27">
      <c r="A69" t="s">
        <v>177</v>
      </c>
      <c r="B69" s="149">
        <f t="shared" ref="B69:W69" si="25">B3</f>
        <v>6.66</v>
      </c>
      <c r="C69" s="149">
        <f t="shared" si="25"/>
        <v>7.032</v>
      </c>
      <c r="D69" s="149">
        <f t="shared" si="25"/>
        <v>7.5010000000000003</v>
      </c>
      <c r="E69" s="149">
        <f t="shared" si="25"/>
        <v>8.1110000000000007</v>
      </c>
      <c r="F69" s="149">
        <f t="shared" si="25"/>
        <v>8.8130000000000006</v>
      </c>
      <c r="G69" s="149">
        <f t="shared" si="25"/>
        <v>9.5470000000000006</v>
      </c>
      <c r="H69" s="149">
        <f t="shared" si="25"/>
        <v>10.355</v>
      </c>
      <c r="I69" s="149">
        <f t="shared" si="25"/>
        <v>11.297000000000001</v>
      </c>
      <c r="J69" s="149">
        <f t="shared" si="25"/>
        <v>12.368</v>
      </c>
      <c r="K69" s="149">
        <f t="shared" si="25"/>
        <v>13.128</v>
      </c>
      <c r="L69" s="149">
        <f t="shared" si="25"/>
        <v>13.753</v>
      </c>
      <c r="M69" s="149">
        <f t="shared" si="25"/>
        <v>14.16</v>
      </c>
      <c r="N69" s="149">
        <f t="shared" si="25"/>
        <v>14.497999999999999</v>
      </c>
      <c r="O69" s="149">
        <f t="shared" si="25"/>
        <v>14.898</v>
      </c>
      <c r="P69" s="151">
        <f t="shared" si="25"/>
        <v>15.058</v>
      </c>
      <c r="Q69" s="151">
        <f t="shared" si="25"/>
        <v>15.625999999999999</v>
      </c>
      <c r="R69" s="151">
        <f t="shared" si="25"/>
        <v>16.222999999999999</v>
      </c>
      <c r="S69" s="151">
        <f t="shared" si="25"/>
        <v>17.158999999999999</v>
      </c>
      <c r="T69" s="150">
        <f t="shared" si="25"/>
        <v>18.277000000000001</v>
      </c>
      <c r="U69" s="150">
        <f t="shared" si="25"/>
        <v>19.198</v>
      </c>
      <c r="V69" s="150">
        <f t="shared" si="25"/>
        <v>19.119</v>
      </c>
      <c r="W69" s="150">
        <f t="shared" si="25"/>
        <v>19.254000000000001</v>
      </c>
      <c r="X69" s="150">
        <f>X3</f>
        <v>19.283000000000001</v>
      </c>
    </row>
    <row r="70" spans="1:27">
      <c r="A70" t="s">
        <v>182</v>
      </c>
      <c r="B70" s="153">
        <f t="shared" ref="B70:V70" si="26">B69/B$75</f>
        <v>5.4495912806539509E-2</v>
      </c>
      <c r="C70" s="153">
        <f t="shared" si="26"/>
        <v>5.409064336481955E-2</v>
      </c>
      <c r="D70" s="153">
        <f t="shared" si="26"/>
        <v>5.4693139478078273E-2</v>
      </c>
      <c r="E70" s="153">
        <f t="shared" si="26"/>
        <v>5.4957787324000924E-2</v>
      </c>
      <c r="F70" s="153">
        <f t="shared" si="26"/>
        <v>5.620750794035486E-2</v>
      </c>
      <c r="G70" s="153">
        <f t="shared" si="26"/>
        <v>5.7995577586625845E-2</v>
      </c>
      <c r="H70" s="153">
        <f t="shared" si="26"/>
        <v>5.8932331682886571E-2</v>
      </c>
      <c r="I70" s="153">
        <f t="shared" si="26"/>
        <v>5.9756362039872848E-2</v>
      </c>
      <c r="J70" s="153">
        <f t="shared" si="26"/>
        <v>6.5247897696698573E-2</v>
      </c>
      <c r="K70" s="153">
        <f t="shared" si="26"/>
        <v>6.6730035123746395E-2</v>
      </c>
      <c r="L70" s="153">
        <f t="shared" si="26"/>
        <v>6.6817601018321029E-2</v>
      </c>
      <c r="M70" s="153">
        <f t="shared" si="26"/>
        <v>6.5823420307640809E-2</v>
      </c>
      <c r="N70" s="153">
        <f t="shared" si="26"/>
        <v>6.6274753606758205E-2</v>
      </c>
      <c r="O70" s="153">
        <f t="shared" si="26"/>
        <v>6.2934581492214495E-2</v>
      </c>
      <c r="P70" s="154">
        <f t="shared" si="26"/>
        <v>6.15129455787315E-2</v>
      </c>
      <c r="Q70" s="154">
        <f t="shared" si="26"/>
        <v>6.0764435733812419E-2</v>
      </c>
      <c r="R70" s="154">
        <f t="shared" si="26"/>
        <v>5.9345346531755959E-2</v>
      </c>
      <c r="S70" s="154">
        <f t="shared" si="26"/>
        <v>5.9430871218680945E-2</v>
      </c>
      <c r="T70" s="155">
        <f t="shared" si="26"/>
        <v>6.0981672466659767E-2</v>
      </c>
      <c r="U70" s="155">
        <f t="shared" si="26"/>
        <v>6.0569730278870637E-2</v>
      </c>
      <c r="V70" s="155">
        <f t="shared" si="26"/>
        <v>5.7240972548643895E-2</v>
      </c>
      <c r="W70" s="155">
        <f>W69/W$75</f>
        <v>5.4978441506524665E-2</v>
      </c>
      <c r="X70" s="155">
        <f>X69/X$75</f>
        <v>5.2604155299971637E-2</v>
      </c>
    </row>
    <row r="71" spans="1:27">
      <c r="A71" s="156" t="s">
        <v>183</v>
      </c>
      <c r="B71" s="156"/>
      <c r="C71" s="156"/>
      <c r="D71" s="156"/>
      <c r="E71" s="156"/>
      <c r="F71" s="156"/>
      <c r="G71" s="156"/>
      <c r="H71" s="153"/>
      <c r="I71" s="153"/>
      <c r="J71" s="153"/>
      <c r="K71" s="153"/>
      <c r="L71" s="157">
        <f t="shared" ref="L71:V71" si="27">$K70*L$75-L69</f>
        <v>-1.8023600514402105E-2</v>
      </c>
      <c r="M71" s="157">
        <f t="shared" si="27"/>
        <v>0.19503188585544962</v>
      </c>
      <c r="N71" s="157">
        <f t="shared" si="27"/>
        <v>9.9595563530266773E-2</v>
      </c>
      <c r="O71" s="157">
        <f t="shared" si="27"/>
        <v>0.89846737456349501</v>
      </c>
      <c r="P71" s="158">
        <f t="shared" si="27"/>
        <v>1.277112218082376</v>
      </c>
      <c r="Q71" s="158">
        <f t="shared" si="27"/>
        <v>1.5340956423172525</v>
      </c>
      <c r="R71" s="158">
        <f t="shared" si="27"/>
        <v>2.0187227816380577</v>
      </c>
      <c r="S71" s="158">
        <f t="shared" si="27"/>
        <v>2.1074292009983076</v>
      </c>
      <c r="T71" s="165">
        <f t="shared" si="27"/>
        <v>1.7228590170434046</v>
      </c>
      <c r="U71" s="165">
        <f t="shared" si="27"/>
        <v>1.9525517427172865</v>
      </c>
      <c r="V71" s="165">
        <f t="shared" si="27"/>
        <v>3.1694323016474115</v>
      </c>
      <c r="W71" s="165">
        <f>$K70*W$75-W69</f>
        <v>4.1155256006872207</v>
      </c>
      <c r="X71" s="165">
        <f>$K70*X$75-X69</f>
        <v>5.1780955152414663</v>
      </c>
    </row>
    <row r="72" spans="1:27">
      <c r="A72" t="s">
        <v>196</v>
      </c>
      <c r="B72">
        <v>4.476</v>
      </c>
      <c r="C72">
        <v>4.9359999999999999</v>
      </c>
      <c r="D72">
        <v>5.3280000000000003</v>
      </c>
      <c r="E72">
        <v>6.4409999999999998</v>
      </c>
      <c r="F72">
        <v>7.2619999999999996</v>
      </c>
      <c r="G72">
        <v>7.8140000000000001</v>
      </c>
      <c r="H72">
        <v>8.5470000000000006</v>
      </c>
      <c r="I72" s="149">
        <v>9.1319999999999997</v>
      </c>
      <c r="J72" s="149">
        <f>10.038</f>
        <v>10.038</v>
      </c>
      <c r="K72" s="149">
        <v>10.67</v>
      </c>
      <c r="L72" s="149">
        <v>11.132999999999999</v>
      </c>
      <c r="M72" s="149">
        <v>11.542</v>
      </c>
      <c r="N72" s="149">
        <v>11.946</v>
      </c>
      <c r="O72" s="149">
        <v>12.164999999999999</v>
      </c>
      <c r="P72" s="151">
        <v>12.414</v>
      </c>
      <c r="Q72" s="151">
        <v>12.821999999999999</v>
      </c>
      <c r="R72" s="151">
        <v>13.281000000000001</v>
      </c>
      <c r="S72" s="151">
        <v>13.829000000000001</v>
      </c>
      <c r="T72" s="150">
        <v>14.582000000000001</v>
      </c>
      <c r="U72" s="150">
        <v>15.423999999999999</v>
      </c>
      <c r="V72" s="150">
        <v>15.366</v>
      </c>
      <c r="W72" s="150">
        <v>15.363</v>
      </c>
      <c r="X72" s="150">
        <v>15.364000000000001</v>
      </c>
    </row>
    <row r="73" spans="1:27">
      <c r="A73" t="s">
        <v>197</v>
      </c>
      <c r="B73" s="153">
        <f t="shared" ref="B73:V73" si="28">B72/B$75</f>
        <v>3.6625181039349974E-2</v>
      </c>
      <c r="C73" s="153">
        <f t="shared" si="28"/>
        <v>3.7968062521153201E-2</v>
      </c>
      <c r="D73" s="153">
        <f t="shared" si="28"/>
        <v>3.8848826441701248E-2</v>
      </c>
      <c r="E73" s="153">
        <f t="shared" si="28"/>
        <v>4.3642350900491914E-2</v>
      </c>
      <c r="F73" s="153">
        <f t="shared" si="28"/>
        <v>4.6315547788818447E-2</v>
      </c>
      <c r="G73" s="153">
        <f t="shared" si="28"/>
        <v>4.7468046848422991E-2</v>
      </c>
      <c r="H73" s="153">
        <f t="shared" si="28"/>
        <v>4.8642649820727336E-2</v>
      </c>
      <c r="I73" s="153">
        <f t="shared" si="28"/>
        <v>4.8304425789866226E-2</v>
      </c>
      <c r="J73" s="153">
        <f t="shared" si="28"/>
        <v>5.2955885921689864E-2</v>
      </c>
      <c r="K73" s="153">
        <f t="shared" si="28"/>
        <v>5.4235944147651892E-2</v>
      </c>
      <c r="L73" s="153">
        <f t="shared" si="28"/>
        <v>5.4088588099830436E-2</v>
      </c>
      <c r="M73" s="153">
        <f t="shared" si="28"/>
        <v>5.3653525225338297E-2</v>
      </c>
      <c r="N73" s="153">
        <f t="shared" si="28"/>
        <v>5.4608787873246904E-2</v>
      </c>
      <c r="O73" s="153">
        <f t="shared" si="28"/>
        <v>5.1389393465753073E-2</v>
      </c>
      <c r="P73" s="154">
        <f t="shared" si="28"/>
        <v>5.0712027255569989E-2</v>
      </c>
      <c r="Q73" s="154">
        <f t="shared" si="28"/>
        <v>4.9860591000828285E-2</v>
      </c>
      <c r="R73" s="154">
        <f t="shared" si="28"/>
        <v>4.8583218103202305E-2</v>
      </c>
      <c r="S73" s="154">
        <f t="shared" si="28"/>
        <v>4.7897285277879766E-2</v>
      </c>
      <c r="T73" s="155">
        <f t="shared" si="28"/>
        <v>4.8653211572404265E-2</v>
      </c>
      <c r="U73" s="155">
        <f t="shared" si="28"/>
        <v>4.8662752360730317E-2</v>
      </c>
      <c r="V73" s="155">
        <f t="shared" si="28"/>
        <v>4.6004748375043786E-2</v>
      </c>
      <c r="W73" s="155">
        <f>W72/W$75</f>
        <v>4.3867964935324522E-2</v>
      </c>
      <c r="X73" s="155">
        <f>X72/X$75</f>
        <v>4.1913096615089157E-2</v>
      </c>
    </row>
    <row r="74" spans="1:27">
      <c r="A74" s="156" t="s">
        <v>183</v>
      </c>
      <c r="B74" s="156"/>
      <c r="C74" s="156"/>
      <c r="D74" s="156"/>
      <c r="E74" s="156"/>
      <c r="F74" s="156"/>
      <c r="G74" s="156"/>
      <c r="H74" s="153"/>
      <c r="I74" s="153"/>
      <c r="J74" s="153"/>
      <c r="K74" s="153"/>
      <c r="L74" s="157">
        <f t="shared" ref="L74:V74" si="29">$K73*L$75-L72</f>
        <v>3.0330147967042365E-2</v>
      </c>
      <c r="M74" s="157">
        <f t="shared" si="29"/>
        <v>0.12529054098702375</v>
      </c>
      <c r="N74" s="157">
        <f t="shared" si="29"/>
        <v>-8.1561802036262065E-2</v>
      </c>
      <c r="O74" s="157">
        <f t="shared" si="29"/>
        <v>0.67384117052045234</v>
      </c>
      <c r="P74" s="158">
        <f t="shared" si="29"/>
        <v>0.86263371168029757</v>
      </c>
      <c r="Q74" s="158">
        <f t="shared" si="29"/>
        <v>1.1251526891777175</v>
      </c>
      <c r="R74" s="158">
        <f t="shared" si="29"/>
        <v>1.5452631078670063</v>
      </c>
      <c r="S74" s="158">
        <f t="shared" si="29"/>
        <v>1.8301102661983482</v>
      </c>
      <c r="T74" s="165">
        <f t="shared" si="29"/>
        <v>1.6732175283251927</v>
      </c>
      <c r="U74" s="165">
        <f t="shared" si="29"/>
        <v>1.7664621492072996</v>
      </c>
      <c r="V74" s="165">
        <f t="shared" si="29"/>
        <v>2.749293468813061</v>
      </c>
      <c r="W74" s="165">
        <f>$K73*W$75-W72</f>
        <v>3.6309699999491691</v>
      </c>
      <c r="X74" s="165">
        <f>$K73*X$75-X72</f>
        <v>4.5171615743164573</v>
      </c>
    </row>
    <row r="75" spans="1:27">
      <c r="A75" t="s">
        <v>179</v>
      </c>
      <c r="B75" s="149">
        <f t="shared" ref="B75:V75" si="30">B5</f>
        <v>122.211</v>
      </c>
      <c r="C75" s="149">
        <f t="shared" si="30"/>
        <v>130.00399999999999</v>
      </c>
      <c r="D75" s="149">
        <f t="shared" si="30"/>
        <v>137.14699999999999</v>
      </c>
      <c r="E75" s="149">
        <f t="shared" si="30"/>
        <v>147.58600000000001</v>
      </c>
      <c r="F75" s="149">
        <f t="shared" si="30"/>
        <v>156.79400000000001</v>
      </c>
      <c r="G75" s="149">
        <f t="shared" si="30"/>
        <v>164.61600000000001</v>
      </c>
      <c r="H75" s="149">
        <f t="shared" si="30"/>
        <v>175.71</v>
      </c>
      <c r="I75" s="149">
        <f t="shared" si="30"/>
        <v>189.05099999999999</v>
      </c>
      <c r="J75" s="149">
        <f t="shared" si="30"/>
        <v>189.554</v>
      </c>
      <c r="K75" s="149">
        <f t="shared" si="30"/>
        <v>196.733</v>
      </c>
      <c r="L75" s="149">
        <f t="shared" si="30"/>
        <v>205.82900000000001</v>
      </c>
      <c r="M75" s="149">
        <f t="shared" si="30"/>
        <v>215.12100000000001</v>
      </c>
      <c r="N75" s="149">
        <f t="shared" si="30"/>
        <v>218.756</v>
      </c>
      <c r="O75" s="149">
        <f t="shared" si="30"/>
        <v>236.72200000000001</v>
      </c>
      <c r="P75" s="149">
        <f t="shared" si="30"/>
        <v>244.79400000000001</v>
      </c>
      <c r="Q75" s="151">
        <f t="shared" si="30"/>
        <v>257.15699999999998</v>
      </c>
      <c r="R75" s="151">
        <f t="shared" si="30"/>
        <v>273.36599999999999</v>
      </c>
      <c r="S75" s="151">
        <f t="shared" si="30"/>
        <v>288.72199999999998</v>
      </c>
      <c r="T75" s="150">
        <f t="shared" si="30"/>
        <v>299.71300000000002</v>
      </c>
      <c r="U75" s="150">
        <f t="shared" si="30"/>
        <v>316.95699999999999</v>
      </c>
      <c r="V75" s="150">
        <f t="shared" si="30"/>
        <v>334.00900000000001</v>
      </c>
      <c r="W75" s="150">
        <f>W5</f>
        <v>350.21</v>
      </c>
      <c r="X75" s="150">
        <f>X5</f>
        <v>366.56799999999998</v>
      </c>
      <c r="Y75" s="95"/>
      <c r="Z75" s="95"/>
      <c r="AA75" s="95"/>
    </row>
    <row r="76" spans="1:27">
      <c r="A76" s="156" t="s">
        <v>198</v>
      </c>
      <c r="B76" s="156"/>
      <c r="C76" s="89">
        <f t="shared" ref="C76:H76" si="31">C75/B75-1</f>
        <v>6.376676403924364E-2</v>
      </c>
      <c r="D76" s="89">
        <f t="shared" si="31"/>
        <v>5.4944463247284636E-2</v>
      </c>
      <c r="E76" s="89">
        <f t="shared" si="31"/>
        <v>7.6115409013686186E-2</v>
      </c>
      <c r="F76" s="89">
        <f t="shared" si="31"/>
        <v>6.2390741669263949E-2</v>
      </c>
      <c r="G76" s="89">
        <f t="shared" si="31"/>
        <v>4.9887113027284213E-2</v>
      </c>
      <c r="H76" s="89">
        <f t="shared" si="31"/>
        <v>6.7393206006706396E-2</v>
      </c>
      <c r="I76" s="89">
        <f>I75/H75-1</f>
        <v>7.592624210346588E-2</v>
      </c>
      <c r="J76" s="89">
        <f t="shared" ref="J76:X76" si="32">J75/I75-1</f>
        <v>2.6606577061216719E-3</v>
      </c>
      <c r="K76" s="89">
        <f t="shared" si="32"/>
        <v>3.787311267501603E-2</v>
      </c>
      <c r="L76" s="89">
        <f t="shared" si="32"/>
        <v>4.6235252855392872E-2</v>
      </c>
      <c r="M76" s="89">
        <f t="shared" si="32"/>
        <v>4.5144270243746121E-2</v>
      </c>
      <c r="N76" s="89">
        <f t="shared" si="32"/>
        <v>1.689746700694017E-2</v>
      </c>
      <c r="O76" s="89">
        <f t="shared" si="32"/>
        <v>8.2128033059664762E-2</v>
      </c>
      <c r="P76" s="118">
        <f t="shared" si="32"/>
        <v>3.4099069794949255E-2</v>
      </c>
      <c r="Q76" s="118">
        <f t="shared" si="32"/>
        <v>5.0503688815902281E-2</v>
      </c>
      <c r="R76" s="118">
        <f t="shared" si="32"/>
        <v>6.3031533265670348E-2</v>
      </c>
      <c r="S76" s="118">
        <f t="shared" si="32"/>
        <v>5.6173774353796668E-2</v>
      </c>
      <c r="T76" s="155">
        <f t="shared" si="32"/>
        <v>3.80677606832871E-2</v>
      </c>
      <c r="U76" s="155">
        <f t="shared" si="32"/>
        <v>5.7535041856709546E-2</v>
      </c>
      <c r="V76" s="155">
        <f t="shared" si="32"/>
        <v>5.3799095776398742E-2</v>
      </c>
      <c r="W76" s="155">
        <f t="shared" si="32"/>
        <v>4.8504681011589446E-2</v>
      </c>
      <c r="X76" s="155">
        <f t="shared" si="32"/>
        <v>4.6709117386710908E-2</v>
      </c>
      <c r="Y76" s="95"/>
      <c r="Z76" s="95"/>
      <c r="AA76" s="95"/>
    </row>
    <row r="77" spans="1:27">
      <c r="Q77" s="116"/>
      <c r="Y77" s="95"/>
      <c r="Z77" s="95"/>
      <c r="AA77" s="95"/>
    </row>
    <row r="78" spans="1:27">
      <c r="A78" t="s">
        <v>199</v>
      </c>
      <c r="B78" s="176">
        <v>6.2688999999999995E-2</v>
      </c>
      <c r="C78" s="176">
        <v>0.25020700000000001</v>
      </c>
      <c r="D78" s="176">
        <v>0.49499900000000002</v>
      </c>
      <c r="E78" s="176">
        <v>0.86875900000000006</v>
      </c>
      <c r="F78" s="176">
        <v>0.22492500000000001</v>
      </c>
      <c r="G78" s="176">
        <v>0.49221100000000001</v>
      </c>
      <c r="H78" s="176">
        <v>0.31818799999999997</v>
      </c>
      <c r="I78" s="176">
        <v>0.26896900000000001</v>
      </c>
      <c r="J78" s="176">
        <v>0.18523300000000001</v>
      </c>
      <c r="K78" s="176">
        <v>0.25096499999999999</v>
      </c>
      <c r="L78" s="176">
        <v>0.36151799999999995</v>
      </c>
      <c r="M78" s="176">
        <v>0.2969</v>
      </c>
      <c r="N78" s="176">
        <v>0.25958199999999998</v>
      </c>
      <c r="O78" s="176">
        <v>0.33643200000000001</v>
      </c>
      <c r="P78" s="176">
        <v>0.68913599999999997</v>
      </c>
      <c r="Q78" s="188">
        <v>0.48727199999999998</v>
      </c>
      <c r="R78" s="151">
        <f>(R79-2415000)/1000000</f>
        <v>0.62869799999999998</v>
      </c>
      <c r="S78" s="151">
        <f t="shared" ref="S78:X78" si="33">S79/1000000</f>
        <v>0.34850100000000001</v>
      </c>
      <c r="T78" s="150">
        <f t="shared" si="33"/>
        <v>0.74829299999999999</v>
      </c>
      <c r="U78" s="150">
        <f t="shared" si="33"/>
        <v>1.7132810000000001</v>
      </c>
      <c r="V78" s="150">
        <f t="shared" si="33"/>
        <v>1.0466329999999999</v>
      </c>
      <c r="W78" s="150">
        <f t="shared" si="33"/>
        <v>0.135021</v>
      </c>
      <c r="X78" s="150">
        <f t="shared" si="33"/>
        <v>6.8849999999999995E-2</v>
      </c>
    </row>
    <row r="79" spans="1:27">
      <c r="A79" s="123" t="s">
        <v>200</v>
      </c>
      <c r="B79" s="189"/>
      <c r="C79" s="176"/>
      <c r="D79" s="176"/>
      <c r="E79" s="176"/>
      <c r="F79" s="176"/>
      <c r="G79" s="176"/>
      <c r="H79" s="176"/>
      <c r="I79" s="176"/>
      <c r="J79" s="176"/>
      <c r="K79" s="176"/>
      <c r="L79" s="176"/>
      <c r="M79" s="176"/>
      <c r="N79" s="176"/>
      <c r="O79" s="133">
        <v>336432</v>
      </c>
      <c r="P79" s="190">
        <v>689136</v>
      </c>
      <c r="Q79" s="190">
        <v>487272</v>
      </c>
      <c r="R79" s="190">
        <v>3043698</v>
      </c>
      <c r="S79" s="190">
        <v>348501</v>
      </c>
      <c r="T79" s="191">
        <v>748293</v>
      </c>
      <c r="U79" s="191">
        <v>1713281</v>
      </c>
      <c r="V79" s="191">
        <v>1046633</v>
      </c>
      <c r="W79" s="191">
        <v>135021</v>
      </c>
      <c r="X79" s="191">
        <v>68850</v>
      </c>
    </row>
    <row r="80" spans="1:27">
      <c r="B80" s="189"/>
      <c r="C80" s="189"/>
      <c r="D80" s="189"/>
      <c r="E80" s="189"/>
      <c r="F80" s="189"/>
      <c r="G80" s="189"/>
      <c r="H80" s="189"/>
      <c r="I80" s="189"/>
      <c r="J80" s="189"/>
      <c r="K80" s="189"/>
      <c r="L80" s="189"/>
      <c r="M80" s="189"/>
      <c r="N80" s="189"/>
      <c r="O80" s="189"/>
      <c r="P80" s="192"/>
      <c r="Q80" s="192"/>
      <c r="R80" s="192"/>
      <c r="S80" s="192"/>
      <c r="T80" s="192"/>
      <c r="U80" s="192"/>
      <c r="V80" s="192"/>
      <c r="W80" s="192"/>
      <c r="X80" s="192"/>
      <c r="Y80" s="192"/>
      <c r="Z80" s="192"/>
      <c r="AA80" s="192"/>
    </row>
    <row r="81" spans="2:24">
      <c r="B81" s="194"/>
      <c r="C81" s="194"/>
      <c r="D81" s="194"/>
      <c r="E81" s="194"/>
      <c r="F81" s="194"/>
      <c r="G81" s="194"/>
      <c r="H81" s="194"/>
      <c r="M81" s="176"/>
      <c r="N81" s="176"/>
      <c r="O81" s="176"/>
      <c r="P81" s="89" t="s">
        <v>201</v>
      </c>
      <c r="R81" s="89">
        <v>2.510707935360923E-2</v>
      </c>
      <c r="S81" s="89">
        <v>2.3611881375488863E-2</v>
      </c>
      <c r="T81" s="89">
        <v>2.2755917615764565E-2</v>
      </c>
      <c r="U81" s="89">
        <v>2.2096178405546008E-2</v>
      </c>
      <c r="V81" s="89">
        <v>2.1516944944064642E-2</v>
      </c>
      <c r="W81" s="89"/>
      <c r="X81" s="89"/>
    </row>
    <row r="82" spans="2:24">
      <c r="B82" s="195"/>
      <c r="C82" s="95"/>
      <c r="D82" s="95"/>
      <c r="E82" s="196"/>
      <c r="F82" s="196"/>
      <c r="G82" s="196"/>
      <c r="H82" s="95"/>
      <c r="M82" s="176"/>
      <c r="N82" s="176"/>
      <c r="O82" s="176"/>
      <c r="P82" s="89" t="s">
        <v>202</v>
      </c>
      <c r="R82" s="197">
        <v>1.3050570962479524E-2</v>
      </c>
      <c r="S82" s="197">
        <v>1.9323671497584627E-2</v>
      </c>
      <c r="T82" s="197">
        <v>2.0537124802527673E-2</v>
      </c>
      <c r="U82" s="197">
        <v>2.0897832817337481E-2</v>
      </c>
      <c r="V82" s="197">
        <v>2.0000000000000018E-2</v>
      </c>
      <c r="W82" s="197"/>
      <c r="X82" s="197"/>
    </row>
    <row r="83" spans="2:24">
      <c r="B83" s="198"/>
      <c r="C83" s="198"/>
      <c r="D83" s="198"/>
      <c r="E83" s="198"/>
      <c r="F83" s="198"/>
      <c r="G83" s="198"/>
      <c r="H83" s="198"/>
      <c r="M83" s="176"/>
      <c r="N83" s="176"/>
      <c r="O83" s="176"/>
      <c r="P83" t="s">
        <v>203</v>
      </c>
      <c r="R83" s="197">
        <v>2.3400000000000001E-2</v>
      </c>
      <c r="S83" s="197">
        <v>2.8799999999999999E-2</v>
      </c>
      <c r="T83" s="197">
        <v>2.7199999999999998E-2</v>
      </c>
      <c r="U83" s="197">
        <v>2.6599999999999999E-2</v>
      </c>
      <c r="V83" s="197">
        <v>3.4789999999999877E-2</v>
      </c>
      <c r="W83" s="197"/>
      <c r="X83" s="197"/>
    </row>
    <row r="84" spans="2:24">
      <c r="E84" s="196"/>
      <c r="P84" s="89" t="s">
        <v>204</v>
      </c>
      <c r="R84" s="197">
        <v>8.0000000000000002E-3</v>
      </c>
      <c r="S84" s="197">
        <v>8.0000000000000002E-3</v>
      </c>
      <c r="T84" s="197">
        <v>8.0000000000000002E-3</v>
      </c>
      <c r="U84" s="197">
        <v>8.0000000000000002E-3</v>
      </c>
      <c r="V84" s="197">
        <v>8.0000000000000002E-3</v>
      </c>
      <c r="W84" s="197"/>
      <c r="X84" s="197"/>
    </row>
    <row r="85" spans="2:24">
      <c r="B85" s="199"/>
      <c r="C85" s="200"/>
      <c r="E85" s="196"/>
      <c r="P85" s="89" t="s">
        <v>205</v>
      </c>
      <c r="R85" s="89">
        <f>(1+R81)*(1+40%*R82+60%*R83)*(1+R84)-1</f>
        <v>5.320968282760008E-2</v>
      </c>
      <c r="S85" s="89">
        <f>(1+S81)*(1+40%*S82+60%*S83)*(1+S84)-1</f>
        <v>5.7605565544989856E-2</v>
      </c>
      <c r="T85" s="89">
        <f>(1+T81)*(1+40%*T82+60%*T83)*(1+T84)-1</f>
        <v>5.6231873204775518E-2</v>
      </c>
      <c r="U85" s="89">
        <f>(1+U81)*(1+40%*U82+60%*U83)*(1+U84)-1</f>
        <v>5.532829280821594E-2</v>
      </c>
      <c r="V85" s="89">
        <f>(1+V81)*(1+40%*V82+60%*V83)*(1+V84)-1</f>
        <v>5.9420323014078402E-2</v>
      </c>
      <c r="W85" s="89"/>
      <c r="X85" s="89"/>
    </row>
    <row r="86" spans="2:24">
      <c r="B86" s="199"/>
      <c r="C86" s="200"/>
      <c r="P86" s="89" t="s">
        <v>206</v>
      </c>
      <c r="R86" s="149">
        <v>0.27900000000000003</v>
      </c>
      <c r="S86" s="176">
        <v>0.34799999999999998</v>
      </c>
      <c r="T86" s="176">
        <v>0.377</v>
      </c>
      <c r="U86" s="176">
        <v>0.35599999999999998</v>
      </c>
      <c r="V86" s="176">
        <v>0.47199999999999998</v>
      </c>
      <c r="W86" s="176"/>
      <c r="X86" s="176"/>
    </row>
    <row r="87" spans="2:24">
      <c r="B87" s="199"/>
      <c r="C87" s="200"/>
      <c r="P87" s="89" t="s">
        <v>207</v>
      </c>
      <c r="R87" s="149">
        <f>R69*(1+R85)+R86</f>
        <v>17.365220684512156</v>
      </c>
      <c r="S87" s="149">
        <f>S69*(1+S85)+S86-R86</f>
        <v>18.21645389918648</v>
      </c>
      <c r="T87" s="149">
        <f>S87*(1+T85)+T86-S86</f>
        <v>19.269799225086171</v>
      </c>
      <c r="U87" s="149">
        <f>T87*(1+U85)+U86-T86</f>
        <v>20.314964318967274</v>
      </c>
      <c r="V87" s="149">
        <f>U87*(1+V85)+V86-U86</f>
        <v>21.638086060819788</v>
      </c>
      <c r="W87" s="149"/>
      <c r="X87" s="149"/>
    </row>
    <row r="88" spans="2:24">
      <c r="P88" s="89" t="s">
        <v>208</v>
      </c>
      <c r="S88" s="130">
        <f>S87-R87</f>
        <v>0.85123321467432334</v>
      </c>
      <c r="T88" s="130">
        <f>T87-S87</f>
        <v>1.0533453258996914</v>
      </c>
      <c r="U88" s="130">
        <f>U87-T87</f>
        <v>1.0451650938811028</v>
      </c>
      <c r="V88" s="130">
        <f>V87-U87</f>
        <v>1.3231217418525141</v>
      </c>
      <c r="W88" s="130"/>
      <c r="X88" s="130"/>
    </row>
    <row r="89" spans="2:24">
      <c r="P89" s="89" t="s">
        <v>209</v>
      </c>
      <c r="T89" s="130">
        <f>T88+S88</f>
        <v>1.9045785405740148</v>
      </c>
      <c r="U89" s="130">
        <f>U88+T89</f>
        <v>2.9497436344551176</v>
      </c>
      <c r="V89" s="130">
        <f>V88+U89</f>
        <v>4.2728653763076316</v>
      </c>
      <c r="W89" s="130"/>
      <c r="X89" s="130"/>
    </row>
    <row r="91" spans="2:24">
      <c r="S91" s="178"/>
      <c r="T91" s="95"/>
      <c r="U91" s="95"/>
      <c r="V91" s="95"/>
      <c r="W91" s="95"/>
      <c r="X91" s="95"/>
    </row>
    <row r="92" spans="2:24">
      <c r="B92" s="95"/>
      <c r="C92" s="95"/>
      <c r="D92" s="95"/>
      <c r="E92" s="95"/>
      <c r="F92" s="95"/>
      <c r="G92" s="95"/>
      <c r="H92" s="95"/>
      <c r="I92" s="95"/>
      <c r="J92" s="95"/>
      <c r="K92" s="95"/>
      <c r="L92" s="95"/>
      <c r="M92" s="95"/>
      <c r="N92" s="95"/>
      <c r="O92" s="201"/>
      <c r="P92" s="95"/>
      <c r="Q92" s="95"/>
      <c r="R92" s="95"/>
    </row>
    <row r="93" spans="2:24">
      <c r="J93" s="58"/>
      <c r="O93" s="202"/>
      <c r="P93" s="95"/>
      <c r="Q93" s="95"/>
      <c r="R93" s="95"/>
      <c r="S93" s="95"/>
      <c r="T93" s="95"/>
      <c r="U93" s="95"/>
      <c r="V93" s="95"/>
      <c r="W93" s="95"/>
      <c r="X93" s="95"/>
    </row>
    <row r="94" spans="2:24">
      <c r="J94" s="178"/>
      <c r="K94" s="95"/>
      <c r="L94" s="95"/>
      <c r="M94" s="95"/>
      <c r="N94" s="95"/>
      <c r="O94" s="203"/>
      <c r="P94" s="95"/>
      <c r="Q94" s="95"/>
      <c r="R94" s="95"/>
      <c r="S94" s="95"/>
      <c r="T94" s="95"/>
      <c r="U94" s="95"/>
      <c r="V94" s="95"/>
      <c r="W94" s="95"/>
      <c r="X94" s="95"/>
    </row>
  </sheetData>
  <mergeCells count="1">
    <mergeCell ref="B66:Q66"/>
  </mergeCells>
  <pageMargins left="0.7" right="0.7" top="0.75" bottom="0.75" header="0.3" footer="0.3"/>
  <pageSetup paperSize="9" orientation="portrait" horizontalDpi="1200" verticalDpi="12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M269"/>
  <sheetViews>
    <sheetView workbookViewId="0">
      <pane xSplit="1" ySplit="2" topLeftCell="N31" activePane="bottomRight" state="frozen"/>
      <selection activeCell="F115" sqref="F115"/>
      <selection pane="topRight" activeCell="F115" sqref="F115"/>
      <selection pane="bottomLeft" activeCell="F115" sqref="F115"/>
      <selection pane="bottomRight" activeCell="AA59" sqref="AA59"/>
    </sheetView>
  </sheetViews>
  <sheetFormatPr defaultRowHeight="15"/>
  <cols>
    <col min="1" max="1" width="52.7109375" customWidth="1"/>
    <col min="2" max="13" width="10.28515625" customWidth="1"/>
    <col min="14" max="14" width="11" bestFit="1" customWidth="1"/>
    <col min="15" max="15" width="32.7109375" customWidth="1"/>
    <col min="26" max="28" width="10.140625" customWidth="1"/>
    <col min="29" max="29" width="12.140625" bestFit="1" customWidth="1"/>
  </cols>
  <sheetData>
    <row r="1" spans="1:30">
      <c r="A1" t="s">
        <v>210</v>
      </c>
      <c r="G1" t="s">
        <v>211</v>
      </c>
    </row>
    <row r="2" spans="1:30">
      <c r="B2" s="109">
        <v>2008</v>
      </c>
      <c r="C2" s="109">
        <v>2009</v>
      </c>
      <c r="D2" s="109">
        <v>2010</v>
      </c>
      <c r="E2" s="109">
        <v>2011</v>
      </c>
      <c r="F2" s="109">
        <v>2012</v>
      </c>
      <c r="G2" s="109">
        <v>2013</v>
      </c>
      <c r="H2" s="109">
        <v>2014</v>
      </c>
      <c r="I2" s="109">
        <v>2015</v>
      </c>
      <c r="J2" s="109">
        <v>2016</v>
      </c>
      <c r="K2" s="109">
        <v>2017</v>
      </c>
      <c r="L2" s="109">
        <v>2018</v>
      </c>
      <c r="M2" s="109">
        <v>2019</v>
      </c>
      <c r="P2" s="109">
        <v>2008</v>
      </c>
      <c r="Q2" s="109">
        <v>2009</v>
      </c>
      <c r="R2" s="109">
        <v>2010</v>
      </c>
      <c r="S2" s="109">
        <v>2011</v>
      </c>
      <c r="T2" s="109">
        <v>2012</v>
      </c>
      <c r="U2" s="109">
        <v>2013</v>
      </c>
      <c r="V2" s="109">
        <v>2014</v>
      </c>
      <c r="W2" s="109">
        <v>2015</v>
      </c>
      <c r="X2" s="109">
        <v>2016</v>
      </c>
      <c r="Y2" s="109">
        <v>2017</v>
      </c>
      <c r="Z2" s="109">
        <v>2018</v>
      </c>
      <c r="AA2" s="109">
        <v>2019</v>
      </c>
      <c r="AB2" s="6"/>
    </row>
    <row r="3" spans="1:30">
      <c r="A3" s="204" t="s">
        <v>212</v>
      </c>
      <c r="M3" s="144" t="s">
        <v>213</v>
      </c>
      <c r="O3" s="204" t="s">
        <v>214</v>
      </c>
      <c r="P3" s="119"/>
      <c r="Q3" s="119"/>
      <c r="AA3" s="144" t="s">
        <v>213</v>
      </c>
      <c r="AB3" s="144"/>
    </row>
    <row r="4" spans="1:30">
      <c r="A4" s="205" t="s">
        <v>215</v>
      </c>
      <c r="B4" s="206">
        <f>[4]CStatement!B19/1000</f>
        <v>3169.3522675000072</v>
      </c>
      <c r="C4" s="206">
        <f>[4]CStatement!I19/1000</f>
        <v>3412.2580552999984</v>
      </c>
      <c r="D4" s="206">
        <f>[4]CStatement!P19/1000</f>
        <v>3608.8988423999972</v>
      </c>
      <c r="E4" s="206">
        <f>-[4]CStatement!W18</f>
        <v>3757.1738137000002</v>
      </c>
      <c r="F4" s="206">
        <f>-[4]CStatement!AD18</f>
        <v>3744.4699017500002</v>
      </c>
      <c r="G4" s="206">
        <f>-[4]CStatement!AK18</f>
        <v>3952.9652953600003</v>
      </c>
      <c r="H4" s="206">
        <f>-[4]CStatement!AR18</f>
        <v>3964.3702581899993</v>
      </c>
      <c r="I4" s="206">
        <f>-[4]CStatement!AY18</f>
        <v>4009.5980555200003</v>
      </c>
      <c r="J4" s="206">
        <f>-[4]CStatement!BF18</f>
        <v>4059</v>
      </c>
      <c r="K4" s="206">
        <f>-[4]CStatement!BN18</f>
        <v>4139</v>
      </c>
      <c r="L4" s="206">
        <f>-[4]CStatement!BV18</f>
        <v>4257</v>
      </c>
      <c r="M4" s="206">
        <f>-[4]CStatement!$CI18</f>
        <v>4450</v>
      </c>
      <c r="O4" s="205" t="s">
        <v>215</v>
      </c>
      <c r="P4" s="89">
        <f t="shared" ref="P4:AA8" si="0">B4/SUM(B$4:B$8)</f>
        <v>0.68962699135701466</v>
      </c>
      <c r="Q4" s="89">
        <f t="shared" si="0"/>
        <v>0.68970684096293122</v>
      </c>
      <c r="R4" s="89">
        <f t="shared" si="0"/>
        <v>0.69036679324770134</v>
      </c>
      <c r="S4" s="89">
        <f t="shared" si="0"/>
        <v>0.69068131172045999</v>
      </c>
      <c r="T4" s="89">
        <f t="shared" si="0"/>
        <v>0.6790534067545464</v>
      </c>
      <c r="U4" s="89">
        <f t="shared" si="0"/>
        <v>0.68375581286244602</v>
      </c>
      <c r="V4" s="89">
        <f t="shared" si="0"/>
        <v>0.68053475067839464</v>
      </c>
      <c r="W4" s="89">
        <f t="shared" si="0"/>
        <v>0.6798857213836228</v>
      </c>
      <c r="X4" s="89">
        <f t="shared" si="0"/>
        <v>0.67458866544789764</v>
      </c>
      <c r="Y4" s="89">
        <f t="shared" si="0"/>
        <v>0.67147955872809861</v>
      </c>
      <c r="Z4" s="89">
        <f t="shared" si="0"/>
        <v>0.65171463563992649</v>
      </c>
      <c r="AA4" s="89">
        <f t="shared" si="0"/>
        <v>0.64868804664723034</v>
      </c>
      <c r="AB4" s="89"/>
      <c r="AD4" s="6"/>
    </row>
    <row r="5" spans="1:30">
      <c r="A5" s="205" t="s">
        <v>216</v>
      </c>
      <c r="B5" s="206">
        <f>[4]CStatement!B20/1000</f>
        <v>369.33082660000082</v>
      </c>
      <c r="C5" s="206">
        <f>[4]CStatement!I20/1000</f>
        <v>398.9549701999984</v>
      </c>
      <c r="D5" s="206">
        <f>[4]CStatement!P20/1000</f>
        <v>409.11966479999995</v>
      </c>
      <c r="E5" s="206">
        <f>-[4]CStatement!W19</f>
        <v>433.31928269999997</v>
      </c>
      <c r="F5" s="206">
        <f>-[4]CStatement!AD19</f>
        <v>424.96506598999997</v>
      </c>
      <c r="G5" s="206">
        <f>-[4]CStatement!AK19</f>
        <v>425.04662602999997</v>
      </c>
      <c r="H5" s="206">
        <f>-[4]CStatement!AR19</f>
        <v>430.47703271999995</v>
      </c>
      <c r="I5" s="206">
        <f>-[4]CStatement!AY19</f>
        <v>427.98996146999997</v>
      </c>
      <c r="J5" s="206">
        <f>-[4]CStatement!BF19</f>
        <v>440</v>
      </c>
      <c r="K5" s="206">
        <f>-[4]CStatement!BN19</f>
        <v>442</v>
      </c>
      <c r="L5" s="206">
        <f>-[4]CStatement!BV19</f>
        <v>458</v>
      </c>
      <c r="M5" s="206">
        <f>-[4]CStatement!$CI19</f>
        <v>488</v>
      </c>
      <c r="O5" s="205" t="s">
        <v>216</v>
      </c>
      <c r="P5" s="89">
        <f t="shared" si="0"/>
        <v>8.0363583870235497E-2</v>
      </c>
      <c r="Q5" s="89">
        <f t="shared" si="0"/>
        <v>8.0639262249147109E-2</v>
      </c>
      <c r="R5" s="89">
        <f t="shared" si="0"/>
        <v>7.8262828462855968E-2</v>
      </c>
      <c r="S5" s="89">
        <f t="shared" si="0"/>
        <v>7.9657089453168933E-2</v>
      </c>
      <c r="T5" s="89">
        <f t="shared" si="0"/>
        <v>7.7066709943993228E-2</v>
      </c>
      <c r="U5" s="89">
        <f t="shared" si="0"/>
        <v>7.3521541316520708E-2</v>
      </c>
      <c r="V5" s="89">
        <f t="shared" si="0"/>
        <v>7.3896876693004376E-2</v>
      </c>
      <c r="W5" s="89">
        <f t="shared" si="0"/>
        <v>7.2571928574831288E-2</v>
      </c>
      <c r="X5" s="89">
        <f t="shared" si="0"/>
        <v>7.3126142595978064E-2</v>
      </c>
      <c r="Y5" s="89">
        <f t="shared" si="0"/>
        <v>7.170668397144711E-2</v>
      </c>
      <c r="Z5" s="89">
        <f t="shared" si="0"/>
        <v>7.0116350275566439E-2</v>
      </c>
      <c r="AA5" s="89">
        <f t="shared" si="0"/>
        <v>7.113702623906705E-2</v>
      </c>
      <c r="AB5" s="89"/>
    </row>
    <row r="6" spans="1:30">
      <c r="A6" s="205" t="s">
        <v>217</v>
      </c>
      <c r="B6" s="206">
        <f>[4]CStatement!B21/1000</f>
        <v>9.8631647999999981</v>
      </c>
      <c r="C6" s="206">
        <f>[4]CStatement!I21/1000</f>
        <v>19.626165700000008</v>
      </c>
      <c r="D6" s="206">
        <f>[4]CStatement!P21/1000</f>
        <v>19.804498099999993</v>
      </c>
      <c r="E6" s="206">
        <f>-[4]CStatement!W20</f>
        <v>16.7171238</v>
      </c>
      <c r="F6" s="206">
        <f>-[4]CStatement!AD20</f>
        <v>17.087073750000002</v>
      </c>
      <c r="G6" s="206">
        <f>-[4]CStatement!AK20</f>
        <v>17.772875489999997</v>
      </c>
      <c r="H6" s="206">
        <f>-[4]CStatement!AR20</f>
        <v>19.102883459999997</v>
      </c>
      <c r="I6" s="206">
        <f>-[4]CStatement!AY20</f>
        <v>19.414962199999994</v>
      </c>
      <c r="J6" s="206">
        <f>-[4]CStatement!BF20</f>
        <v>26</v>
      </c>
      <c r="K6" s="206">
        <f>-[4]CStatement!BN20</f>
        <v>30</v>
      </c>
      <c r="L6" s="206">
        <f>-[4]CStatement!BV20</f>
        <v>28</v>
      </c>
      <c r="M6" s="206">
        <f>-[4]CStatement!$CI20</f>
        <v>37</v>
      </c>
      <c r="O6" s="205" t="s">
        <v>217</v>
      </c>
      <c r="P6" s="89">
        <f t="shared" si="0"/>
        <v>2.1461497783103072E-3</v>
      </c>
      <c r="Q6" s="89">
        <f t="shared" si="0"/>
        <v>3.9669627929039969E-3</v>
      </c>
      <c r="R6" s="89">
        <f t="shared" si="0"/>
        <v>3.7885151239331395E-3</v>
      </c>
      <c r="S6" s="89">
        <f t="shared" si="0"/>
        <v>3.0731090886122235E-3</v>
      </c>
      <c r="T6" s="89">
        <f t="shared" si="0"/>
        <v>3.0987124869079428E-3</v>
      </c>
      <c r="U6" s="89">
        <f t="shared" si="0"/>
        <v>3.0742255546317085E-3</v>
      </c>
      <c r="V6" s="89">
        <f t="shared" si="0"/>
        <v>3.279253749276431E-3</v>
      </c>
      <c r="W6" s="89">
        <f t="shared" si="0"/>
        <v>3.2920894808422083E-3</v>
      </c>
      <c r="X6" s="89">
        <f t="shared" si="0"/>
        <v>4.321090244307795E-3</v>
      </c>
      <c r="Y6" s="89">
        <f t="shared" si="0"/>
        <v>4.8669695003244647E-3</v>
      </c>
      <c r="Z6" s="89">
        <f t="shared" si="0"/>
        <v>4.2865890998162893E-3</v>
      </c>
      <c r="AA6" s="89">
        <f t="shared" si="0"/>
        <v>5.393586005830904E-3</v>
      </c>
      <c r="AB6" s="89"/>
    </row>
    <row r="7" spans="1:30">
      <c r="A7" s="205" t="s">
        <v>218</v>
      </c>
      <c r="B7" s="206">
        <f>[4]CStatement!B22/1000</f>
        <v>1010.285536900001</v>
      </c>
      <c r="C7" s="206">
        <f>[4]CStatement!I22/1000</f>
        <v>1074.3105425999979</v>
      </c>
      <c r="D7" s="206">
        <f>[4]CStatement!P22/1000</f>
        <v>1146.5860240999978</v>
      </c>
      <c r="E7" s="206">
        <f>-[4]CStatement!W21</f>
        <v>1190.2300263</v>
      </c>
      <c r="F7" s="206">
        <f>-[4]CStatement!AD21</f>
        <v>1284.7223628300001</v>
      </c>
      <c r="G7" s="206">
        <f>-[4]CStatement!AK21</f>
        <v>1341.3879435000001</v>
      </c>
      <c r="H7" s="206">
        <f>-[4]CStatement!AR21</f>
        <v>1366.92075611</v>
      </c>
      <c r="I7" s="206">
        <f>-[4]CStatement!AY21</f>
        <v>1396.3204920299997</v>
      </c>
      <c r="J7" s="206">
        <f>-[4]CStatement!BF21</f>
        <v>1449</v>
      </c>
      <c r="K7" s="206">
        <f>-[4]CStatement!BN21</f>
        <v>1508</v>
      </c>
      <c r="L7" s="206">
        <f>-[4]CStatement!BV21</f>
        <v>1745</v>
      </c>
      <c r="M7" s="206">
        <f>-[4]CStatement!$CI21</f>
        <v>1836</v>
      </c>
      <c r="O7" s="205" t="s">
        <v>218</v>
      </c>
      <c r="P7" s="89">
        <f t="shared" si="0"/>
        <v>0.21983046263690612</v>
      </c>
      <c r="Q7" s="89">
        <f t="shared" si="0"/>
        <v>0.21714633493177396</v>
      </c>
      <c r="R7" s="89">
        <f t="shared" si="0"/>
        <v>0.21933696432292876</v>
      </c>
      <c r="S7" s="89">
        <f t="shared" si="0"/>
        <v>0.21880000143096959</v>
      </c>
      <c r="T7" s="89">
        <f t="shared" si="0"/>
        <v>0.23298226988171089</v>
      </c>
      <c r="U7" s="89">
        <f t="shared" si="0"/>
        <v>0.23202374297298223</v>
      </c>
      <c r="V7" s="89">
        <f t="shared" si="0"/>
        <v>0.23464939331402337</v>
      </c>
      <c r="W7" s="89">
        <f t="shared" si="0"/>
        <v>0.23676646682816513</v>
      </c>
      <c r="X7" s="89">
        <f t="shared" si="0"/>
        <v>0.24081768323084593</v>
      </c>
      <c r="Y7" s="89">
        <f t="shared" si="0"/>
        <v>0.2446463335496431</v>
      </c>
      <c r="Z7" s="89">
        <f t="shared" si="0"/>
        <v>0.26714635639926515</v>
      </c>
      <c r="AA7" s="89">
        <f t="shared" si="0"/>
        <v>0.26763848396501455</v>
      </c>
      <c r="AB7" s="89"/>
    </row>
    <row r="8" spans="1:30">
      <c r="A8" s="205" t="s">
        <v>219</v>
      </c>
      <c r="B8" s="206">
        <f>[4]CStatement!B23/1000</f>
        <v>36.916785999999973</v>
      </c>
      <c r="C8" s="206">
        <f>[4]CStatement!I23/1000</f>
        <v>42.253789900000008</v>
      </c>
      <c r="D8" s="206">
        <f>[4]CStatement!P23/1000</f>
        <v>43.100285500000012</v>
      </c>
      <c r="E8" s="206">
        <f>-[4]CStatement!W22</f>
        <v>42.367882000000002</v>
      </c>
      <c r="F8" s="206">
        <f>-[4]CStatement!AD22</f>
        <v>43.005085489999999</v>
      </c>
      <c r="G8" s="206">
        <f>-[4]CStatement!AK22</f>
        <v>44.080187930000001</v>
      </c>
      <c r="H8" s="206">
        <f>-[4]CStatement!AR22</f>
        <v>44.504267829999996</v>
      </c>
      <c r="I8" s="206">
        <f>-[4]CStatement!AY22</f>
        <v>44.135365479999997</v>
      </c>
      <c r="J8" s="206">
        <f>-[4]CStatement!BF22</f>
        <v>43</v>
      </c>
      <c r="K8" s="206">
        <f>-[4]CStatement!BN22</f>
        <v>45</v>
      </c>
      <c r="L8" s="206">
        <f>-[4]CStatement!BV22</f>
        <v>44</v>
      </c>
      <c r="M8" s="206">
        <f>-[4]CStatement!$CI22</f>
        <v>49</v>
      </c>
      <c r="O8" s="205" t="s">
        <v>219</v>
      </c>
      <c r="P8" s="89">
        <f t="shared" si="0"/>
        <v>8.032812357533458E-3</v>
      </c>
      <c r="Q8" s="89">
        <f t="shared" si="0"/>
        <v>8.5405990632435487E-3</v>
      </c>
      <c r="R8" s="89">
        <f t="shared" si="0"/>
        <v>8.2448988425809343E-3</v>
      </c>
      <c r="S8" s="89">
        <f t="shared" si="0"/>
        <v>7.7884883067893679E-3</v>
      </c>
      <c r="T8" s="89">
        <f t="shared" si="0"/>
        <v>7.7989009328415038E-3</v>
      </c>
      <c r="U8" s="89">
        <f t="shared" si="0"/>
        <v>7.6246772934194578E-3</v>
      </c>
      <c r="V8" s="89">
        <f t="shared" si="0"/>
        <v>7.6397255653011227E-3</v>
      </c>
      <c r="W8" s="89">
        <f t="shared" si="0"/>
        <v>7.4837937325386268E-3</v>
      </c>
      <c r="X8" s="89">
        <f t="shared" si="0"/>
        <v>7.1464184809705835E-3</v>
      </c>
      <c r="Y8" s="89">
        <f t="shared" si="0"/>
        <v>7.300454250486697E-3</v>
      </c>
      <c r="Z8" s="89">
        <f t="shared" si="0"/>
        <v>6.7360685854255973E-3</v>
      </c>
      <c r="AA8" s="89">
        <f t="shared" si="0"/>
        <v>7.1428571428571426E-3</v>
      </c>
      <c r="AB8" s="89"/>
    </row>
    <row r="9" spans="1:30">
      <c r="C9" s="207"/>
      <c r="D9" s="207"/>
      <c r="E9" s="207"/>
      <c r="F9" s="207"/>
      <c r="G9" s="207"/>
      <c r="H9" s="207"/>
      <c r="I9" s="207"/>
      <c r="J9" s="207"/>
      <c r="K9" s="207"/>
      <c r="L9" s="207"/>
      <c r="M9" s="207"/>
    </row>
    <row r="10" spans="1:30">
      <c r="A10" s="204" t="s">
        <v>220</v>
      </c>
      <c r="O10" s="208"/>
    </row>
    <row r="11" spans="1:30">
      <c r="A11" s="209" t="s">
        <v>221</v>
      </c>
      <c r="B11" s="89">
        <f>VLOOKUP($A11,'[4]Funder Arm Rev'!A$19:L$42,6,FALSE)/(VLOOKUP($A11,'[4]Funder Arm Rev'!A$19:L$42,6,FALSE)+VLOOKUP($A11,'[4]Funder Arm Rev'!A$19:L$42,10,FALSE))</f>
        <v>0.63742425129944935</v>
      </c>
      <c r="C11" s="89">
        <f>VLOOKUP($A11,'[4]Funder Arm Rev'!$N$19:$Y$42,6,FALSE)/(VLOOKUP($A11,'[4]Funder Arm Rev'!$N$19:$Y$42,6,FALSE)+VLOOKUP($A11,'[4]Funder Arm Rev'!$N$19:$Y$42,10,FALSE))</f>
        <v>0.63352372841986981</v>
      </c>
      <c r="D11" s="89">
        <f>VLOOKUP($A11,'[4]Funder Arm Rev'!$AA$19:$AL$41,6,FALSE)/(VLOOKUP($A11,'[4]Funder Arm Rev'!$AA$19:$AL$41,6,FALSE)+VLOOKUP($A11,'[4]Funder Arm Rev'!$AA$19:$AL$41,10,FALSE))</f>
        <v>0.64217050531365472</v>
      </c>
      <c r="E11" s="89">
        <f>VLOOKUP($A11,'[4]Funder Arm Rev'!$AN$19:$AY$41,6,FALSE)/(VLOOKUP($A11,'[4]Funder Arm Rev'!$AN$19:$AY$41,6,FALSE)+VLOOKUP($A11,'[4]Funder Arm Rev'!$AN$19:$AY$41,10,FALSE))</f>
        <v>0.62140992373963688</v>
      </c>
      <c r="F11" s="89">
        <f>VLOOKUP($A11,'[4]Funder Arm Rev'!$A$99:$L$127,6,FALSE)/(VLOOKUP($A11,'[4]Funder Arm Rev'!$A$99:$L$127,6,FALSE)+VLOOKUP($A11,'[4]Funder Arm Rev'!$A$99:$L$127,10,FALSE))</f>
        <v>0.6583331851866957</v>
      </c>
      <c r="G11" s="89">
        <f>VLOOKUP($A11,'[4]Funder Arm Rev'!$N$132:$Y$160,6,FALSE)</f>
        <v>0.60732198864281317</v>
      </c>
      <c r="H11" s="89">
        <f>VLOOKUP($A11,'[4]Funder Arm Rev'!$AA$132:$AL$160,6,FALSE)</f>
        <v>0.61470414280027563</v>
      </c>
      <c r="I11" s="89">
        <f>VLOOKUP($A11,'[4]Funder Arm Rev'!$AN$132:$AY$160,6,FALSE)</f>
        <v>0.62290791184171579</v>
      </c>
      <c r="J11" s="89">
        <f>VLOOKUP($A11,'[4]Funder Arm Rev'!$A$231:$L$259,6,FALSE)</f>
        <v>0.67516723555969704</v>
      </c>
      <c r="K11" s="89">
        <f>VLOOKUP($A11,'[4]Funder Arm Rev'!$N$231:$X$259,6,FALSE)</f>
        <v>0.68066362462179886</v>
      </c>
      <c r="L11" s="89">
        <f>VLOOKUP($A11,'[4]Funder Arm Rev'!$AA$231:$AK$259,6,FALSE)</f>
        <v>0.68295315499865572</v>
      </c>
      <c r="M11" s="89">
        <f>VLOOKUP($A11,'[4]Funder Arm Rev'!$AN$231:$AY$259,6,FALSE)</f>
        <v>0.67893602146543419</v>
      </c>
      <c r="O11" s="209"/>
      <c r="P11" s="89"/>
      <c r="Q11" s="89"/>
      <c r="R11" s="89"/>
      <c r="S11" s="89"/>
      <c r="T11" s="89"/>
      <c r="U11" s="89"/>
      <c r="V11" s="89"/>
      <c r="W11" s="89"/>
      <c r="X11" s="89"/>
    </row>
    <row r="12" spans="1:30">
      <c r="A12" s="209" t="s">
        <v>222</v>
      </c>
      <c r="B12" s="89">
        <f>VLOOKUP($A12,'[4]Funder Arm Rev'!A$19:L$42,6,FALSE)/(VLOOKUP($A12,'[4]Funder Arm Rev'!A$19:L$42,6,FALSE)+VLOOKUP($A12,'[4]Funder Arm Rev'!A$19:L$42,10,FALSE))</f>
        <v>0.49556938436218817</v>
      </c>
      <c r="C12" s="89">
        <f>VLOOKUP($A12,'[4]Funder Arm Rev'!$N$19:$Y$42,6,FALSE)/(VLOOKUP($A12,'[4]Funder Arm Rev'!$N$19:$Y$42,6,FALSE)+VLOOKUP($A12,'[4]Funder Arm Rev'!$N$19:$Y$42,10,FALSE))</f>
        <v>0.49801352026323714</v>
      </c>
      <c r="D12" s="89">
        <f>VLOOKUP($A12,'[4]Funder Arm Rev'!$AA$19:$AL$41,6,FALSE)/(VLOOKUP($A12,'[4]Funder Arm Rev'!$AA$19:$AL$41,6,FALSE)+VLOOKUP($A12,'[4]Funder Arm Rev'!$AA$19:$AL$41,10,FALSE))</f>
        <v>0.49358171319917149</v>
      </c>
      <c r="E12" s="89">
        <f>VLOOKUP($A12,'[4]Funder Arm Rev'!$AN$19:$AY$41,6,FALSE)/(VLOOKUP($A12,'[4]Funder Arm Rev'!$AN$19:$AY$41,6,FALSE)+VLOOKUP($A12,'[4]Funder Arm Rev'!$AN$19:$AY$41,10,FALSE))</f>
        <v>0.48567487610726728</v>
      </c>
      <c r="F12" s="89">
        <f>VLOOKUP($A12,'[4]Funder Arm Rev'!$A$99:$L$127,6,FALSE)/(VLOOKUP($A12,'[4]Funder Arm Rev'!$A$99:$L$127,6,FALSE)+VLOOKUP($A12,'[4]Funder Arm Rev'!$A$99:$L$127,10,FALSE))</f>
        <v>0.49043216371192594</v>
      </c>
      <c r="G12" s="89">
        <f>VLOOKUP($A12,'[4]Funder Arm Rev'!$N$132:$Y$160,6,FALSE)</f>
        <v>0.4896847349606121</v>
      </c>
      <c r="H12" s="89">
        <f>VLOOKUP($A12,'[4]Funder Arm Rev'!$AA$132:$AL$160,6,FALSE)</f>
        <v>0.49647906971553563</v>
      </c>
      <c r="I12" s="89">
        <f>VLOOKUP($A12,'[4]Funder Arm Rev'!$AN$132:$AY$160,6,FALSE)</f>
        <v>0.49956861454762147</v>
      </c>
      <c r="J12" s="89">
        <f>VLOOKUP($A12,'[4]Funder Arm Rev'!$A$231:$L$259,6,FALSE)</f>
        <v>0.50718983634273551</v>
      </c>
      <c r="K12" s="89">
        <f>VLOOKUP($A12,'[4]Funder Arm Rev'!$N$231:$X$259,6,FALSE)</f>
        <v>0.49964686882123427</v>
      </c>
      <c r="L12" s="89">
        <f>VLOOKUP($A12,'[4]Funder Arm Rev'!$AA$231:$AK$259,6,FALSE)</f>
        <v>0.49755408845497884</v>
      </c>
      <c r="M12" s="89">
        <f>VLOOKUP($A12,'[4]Funder Arm Rev'!$AN$231:$AY$259,6,FALSE)</f>
        <v>0.49901663325573775</v>
      </c>
      <c r="O12" s="209"/>
      <c r="P12" s="89"/>
      <c r="Q12" s="89"/>
      <c r="R12" s="89"/>
      <c r="S12" s="89"/>
      <c r="T12" s="89"/>
      <c r="U12" s="89"/>
      <c r="V12" s="89"/>
      <c r="W12" s="89"/>
      <c r="X12" s="89"/>
    </row>
    <row r="13" spans="1:30">
      <c r="A13" s="209" t="s">
        <v>223</v>
      </c>
      <c r="B13" s="89">
        <f>VLOOKUP($A13,'[4]Funder Arm Rev'!A$19:L$42,6,FALSE)/(VLOOKUP($A13,'[4]Funder Arm Rev'!A$19:L$42,6,FALSE)+VLOOKUP($A13,'[4]Funder Arm Rev'!A$19:L$42,10,FALSE))</f>
        <v>0.55551971720433513</v>
      </c>
      <c r="C13" s="89">
        <f>VLOOKUP($A13,'[4]Funder Arm Rev'!$N$19:$Y$42,6,FALSE)/(VLOOKUP($A13,'[4]Funder Arm Rev'!$N$19:$Y$42,6,FALSE)+VLOOKUP($A13,'[4]Funder Arm Rev'!$N$19:$Y$42,10,FALSE))</f>
        <v>0.54648732618628049</v>
      </c>
      <c r="D13" s="89">
        <f>VLOOKUP($A13,'[4]Funder Arm Rev'!$AA$19:$AL$41,6,FALSE)/(VLOOKUP($A13,'[4]Funder Arm Rev'!$AA$19:$AL$41,6,FALSE)+VLOOKUP($A13,'[4]Funder Arm Rev'!$AA$19:$AL$41,10,FALSE))</f>
        <v>0.55872432998290711</v>
      </c>
      <c r="E13" s="89">
        <f>VLOOKUP($A13,'[4]Funder Arm Rev'!$AN$19:$AY$41,6,FALSE)/(VLOOKUP($A13,'[4]Funder Arm Rev'!$AN$19:$AY$41,6,FALSE)+VLOOKUP($A13,'[4]Funder Arm Rev'!$AN$19:$AY$41,10,FALSE))</f>
        <v>0.55723655104432668</v>
      </c>
      <c r="F13" s="89">
        <f>VLOOKUP($A13,'[4]Funder Arm Rev'!$A$99:$L$127,6,FALSE)/(VLOOKUP($A13,'[4]Funder Arm Rev'!$A$99:$L$127,6,FALSE)+VLOOKUP($A13,'[4]Funder Arm Rev'!$A$99:$L$127,10,FALSE))</f>
        <v>0.56122644700992563</v>
      </c>
      <c r="G13" s="89">
        <f>VLOOKUP($A13,'[4]Funder Arm Rev'!$N$132:$Y$160,6,FALSE)</f>
        <v>0.56420900633970505</v>
      </c>
      <c r="H13" s="89">
        <f>VLOOKUP($A13,'[4]Funder Arm Rev'!$AA$132:$AL$160,6,FALSE)</f>
        <v>0.57233459121155572</v>
      </c>
      <c r="I13" s="89">
        <f>VLOOKUP($A13,'[4]Funder Arm Rev'!$AN$132:$AY$160,6,FALSE)</f>
        <v>0.58650484371274314</v>
      </c>
      <c r="J13" s="89">
        <f>VLOOKUP($A13,'[4]Funder Arm Rev'!$A$231:$L$259,6,FALSE)</f>
        <v>0.58366080232533402</v>
      </c>
      <c r="K13" s="89">
        <f>VLOOKUP($A13,'[4]Funder Arm Rev'!$N$231:$X$259,6,FALSE)</f>
        <v>0.57697728733140452</v>
      </c>
      <c r="L13" s="89">
        <f>VLOOKUP($A13,'[4]Funder Arm Rev'!$AA$231:$AK$259,6,FALSE)</f>
        <v>0.57827828070168907</v>
      </c>
      <c r="M13" s="89">
        <f>VLOOKUP($A13,'[4]Funder Arm Rev'!$AN$231:$AY$259,6,FALSE)</f>
        <v>0.56347177432218454</v>
      </c>
      <c r="O13" s="209"/>
      <c r="P13" s="89"/>
      <c r="Q13" s="89"/>
      <c r="R13" s="89"/>
      <c r="S13" s="89"/>
      <c r="T13" s="89"/>
      <c r="U13" s="89"/>
      <c r="V13" s="89"/>
      <c r="W13" s="89"/>
      <c r="X13" s="89"/>
    </row>
    <row r="14" spans="1:30">
      <c r="A14" s="209" t="s">
        <v>224</v>
      </c>
      <c r="B14" s="89">
        <f>VLOOKUP($A14,'[4]Funder Arm Rev'!A$19:L$42,6,FALSE)/(VLOOKUP($A14,'[4]Funder Arm Rev'!A$19:L$42,6,FALSE)+VLOOKUP($A14,'[4]Funder Arm Rev'!A$19:L$42,10,FALSE))</f>
        <v>0.58598583083461986</v>
      </c>
      <c r="C14" s="89">
        <f>VLOOKUP($A14,'[4]Funder Arm Rev'!$N$19:$Y$42,6,FALSE)/(VLOOKUP($A14,'[4]Funder Arm Rev'!$N$19:$Y$42,6,FALSE)+VLOOKUP($A14,'[4]Funder Arm Rev'!$N$19:$Y$42,10,FALSE))</f>
        <v>0.59137934391368596</v>
      </c>
      <c r="D14" s="89">
        <f>VLOOKUP($A14,'[4]Funder Arm Rev'!$AA$19:$AL$41,6,FALSE)/(VLOOKUP($A14,'[4]Funder Arm Rev'!$AA$19:$AL$41,6,FALSE)+VLOOKUP($A14,'[4]Funder Arm Rev'!$AA$19:$AL$41,10,FALSE))</f>
        <v>0.60208405673595533</v>
      </c>
      <c r="E14" s="89">
        <f>VLOOKUP($A14,'[4]Funder Arm Rev'!$AN$19:$AY$41,6,FALSE)/(VLOOKUP($A14,'[4]Funder Arm Rev'!$AN$19:$AY$41,6,FALSE)+VLOOKUP($A14,'[4]Funder Arm Rev'!$AN$19:$AY$41,10,FALSE))</f>
        <v>0.61071962947539404</v>
      </c>
      <c r="F14" s="89">
        <f>VLOOKUP($A14,'[4]Funder Arm Rev'!$A$99:$L$127,6,FALSE)/(VLOOKUP($A14,'[4]Funder Arm Rev'!$A$99:$L$127,6,FALSE)+VLOOKUP($A14,'[4]Funder Arm Rev'!$A$99:$L$127,10,FALSE))</f>
        <v>0.62759273860169262</v>
      </c>
      <c r="G14" s="89">
        <f>VLOOKUP($A14,'[4]Funder Arm Rev'!$N$132:$Y$160,6,FALSE)</f>
        <v>0.63728817837315344</v>
      </c>
      <c r="H14" s="89">
        <f>VLOOKUP($A14,'[4]Funder Arm Rev'!$AA$132:$AL$160,6,FALSE)</f>
        <v>0.63511662799206992</v>
      </c>
      <c r="I14" s="89">
        <f>VLOOKUP($A14,'[4]Funder Arm Rev'!$AN$132:$AY$160,6,FALSE)</f>
        <v>0.63151230709467543</v>
      </c>
      <c r="J14" s="89">
        <f>VLOOKUP($A14,'[4]Funder Arm Rev'!$A$231:$L$259,6,FALSE)</f>
        <v>0.63135411110007145</v>
      </c>
      <c r="K14" s="89">
        <f>VLOOKUP($A14,'[4]Funder Arm Rev'!$N$231:$X$259,6,FALSE)</f>
        <v>0.62430743329217075</v>
      </c>
      <c r="L14" s="89">
        <f>VLOOKUP($A14,'[4]Funder Arm Rev'!$AA$231:$AK$259,6,FALSE)</f>
        <v>0.63243475294482943</v>
      </c>
      <c r="M14" s="89">
        <f>VLOOKUP($A14,'[4]Funder Arm Rev'!$AN$231:$AY$259,6,FALSE)</f>
        <v>0.62805407061518581</v>
      </c>
      <c r="O14" s="209"/>
      <c r="P14" s="89"/>
      <c r="Q14" s="89"/>
      <c r="R14" s="89"/>
      <c r="S14" s="89"/>
      <c r="T14" s="89"/>
      <c r="U14" s="89"/>
      <c r="V14" s="89"/>
      <c r="W14" s="89"/>
      <c r="X14" s="89"/>
    </row>
    <row r="15" spans="1:30">
      <c r="A15" s="209" t="s">
        <v>225</v>
      </c>
      <c r="B15" s="89">
        <f>VLOOKUP($A15,'[4]Funder Arm Rev'!A$19:L$42,6,FALSE)/(VLOOKUP($A15,'[4]Funder Arm Rev'!A$19:L$42,6,FALSE)+VLOOKUP($A15,'[4]Funder Arm Rev'!A$19:L$42,10,FALSE))</f>
        <v>0.49985071160800187</v>
      </c>
      <c r="C15" s="89">
        <f>VLOOKUP($A15,'[4]Funder Arm Rev'!$N$19:$Y$42,6,FALSE)/(VLOOKUP($A15,'[4]Funder Arm Rev'!$N$19:$Y$42,6,FALSE)+VLOOKUP($A15,'[4]Funder Arm Rev'!$N$19:$Y$42,10,FALSE))</f>
        <v>0.51137200943986494</v>
      </c>
      <c r="D15" s="89">
        <f>VLOOKUP($A15,'[4]Funder Arm Rev'!$AA$19:$AL$41,6,FALSE)/(VLOOKUP($A15,'[4]Funder Arm Rev'!$AA$19:$AL$41,6,FALSE)+VLOOKUP($A15,'[4]Funder Arm Rev'!$AA$19:$AL$41,10,FALSE))</f>
        <v>0.52225575599407714</v>
      </c>
      <c r="E15" s="89">
        <f>VLOOKUP($A15,'[4]Funder Arm Rev'!$AN$19:$AY$41,6,FALSE)/(VLOOKUP($A15,'[4]Funder Arm Rev'!$AN$19:$AY$41,6,FALSE)+VLOOKUP($A15,'[4]Funder Arm Rev'!$AN$19:$AY$41,10,FALSE))</f>
        <v>0.52086984992095886</v>
      </c>
      <c r="F15" s="89">
        <f>VLOOKUP($A15,'[4]Funder Arm Rev'!$A$99:$L$127,6,FALSE)/(VLOOKUP($A15,'[4]Funder Arm Rev'!$A$99:$L$127,6,FALSE)+VLOOKUP($A15,'[4]Funder Arm Rev'!$A$99:$L$127,10,FALSE))</f>
        <v>0.51011289245573854</v>
      </c>
      <c r="G15" s="89">
        <f>VLOOKUP($A15,'[4]Funder Arm Rev'!$N$132:$Y$160,6,FALSE)</f>
        <v>0.51566363860556774</v>
      </c>
      <c r="H15" s="89">
        <f>VLOOKUP($A15,'[4]Funder Arm Rev'!$AA$132:$AL$160,6,FALSE)</f>
        <v>0.53044212063647544</v>
      </c>
      <c r="I15" s="89">
        <f>VLOOKUP($A15,'[4]Funder Arm Rev'!$AN$132:$AY$160,6,FALSE)</f>
        <v>0.53793656792930178</v>
      </c>
      <c r="J15" s="89">
        <f>VLOOKUP($A15,'[4]Funder Arm Rev'!$A$231:$L$259,6,FALSE)</f>
        <v>0.54497782740582423</v>
      </c>
      <c r="K15" s="89">
        <f>VLOOKUP($A15,'[4]Funder Arm Rev'!$N$231:$X$259,6,FALSE)</f>
        <v>0.54433545109392611</v>
      </c>
      <c r="L15" s="89">
        <f>VLOOKUP($A15,'[4]Funder Arm Rev'!$AA$231:$AK$259,6,FALSE)</f>
        <v>0.54070730299942427</v>
      </c>
      <c r="M15" s="89">
        <f>VLOOKUP($A15,'[4]Funder Arm Rev'!$AN$231:$AY$259,6,FALSE)</f>
        <v>0.54593579610244691</v>
      </c>
      <c r="O15" s="209"/>
      <c r="P15" s="89"/>
      <c r="Q15" s="89"/>
      <c r="R15" s="89"/>
      <c r="S15" s="89"/>
      <c r="T15" s="89"/>
      <c r="U15" s="89"/>
      <c r="V15" s="89"/>
      <c r="W15" s="89"/>
      <c r="X15" s="89"/>
    </row>
    <row r="16" spans="1:30">
      <c r="A16" s="209" t="s">
        <v>226</v>
      </c>
      <c r="B16" s="89">
        <f>VLOOKUP($A16,'[4]Funder Arm Rev'!A$19:L$42,6,FALSE)/(VLOOKUP($A16,'[4]Funder Arm Rev'!A$19:L$42,6,FALSE)+VLOOKUP($A16,'[4]Funder Arm Rev'!A$19:L$42,10,FALSE))</f>
        <v>0.51734872243561369</v>
      </c>
      <c r="C16" s="89">
        <f>VLOOKUP($A16,'[4]Funder Arm Rev'!$N$19:$Y$42,6,FALSE)/(VLOOKUP($A16,'[4]Funder Arm Rev'!$N$19:$Y$42,6,FALSE)+VLOOKUP($A16,'[4]Funder Arm Rev'!$N$19:$Y$42,10,FALSE))</f>
        <v>0.51294791018971853</v>
      </c>
      <c r="D16" s="89">
        <f>VLOOKUP($A16,'[4]Funder Arm Rev'!$AA$19:$AL$41,6,FALSE)/(VLOOKUP($A16,'[4]Funder Arm Rev'!$AA$19:$AL$41,6,FALSE)+VLOOKUP($A16,'[4]Funder Arm Rev'!$AA$19:$AL$41,10,FALSE))</f>
        <v>0.51585038597803723</v>
      </c>
      <c r="E16" s="89">
        <f>VLOOKUP($A16,'[4]Funder Arm Rev'!$AN$19:$AY$41,6,FALSE)/(VLOOKUP($A16,'[4]Funder Arm Rev'!$AN$19:$AY$41,6,FALSE)+VLOOKUP($A16,'[4]Funder Arm Rev'!$AN$19:$AY$41,10,FALSE))</f>
        <v>0.52183636804931088</v>
      </c>
      <c r="F16" s="89">
        <f>VLOOKUP($A16,'[4]Funder Arm Rev'!$A$99:$L$127,6,FALSE)/(VLOOKUP($A16,'[4]Funder Arm Rev'!$A$99:$L$127,6,FALSE)+VLOOKUP($A16,'[4]Funder Arm Rev'!$A$99:$L$127,10,FALSE))</f>
        <v>0.51905647032412949</v>
      </c>
      <c r="G16" s="89">
        <f>VLOOKUP($A16,'[4]Funder Arm Rev'!$N$132:$Y$160,6,FALSE)</f>
        <v>0.52201505384442892</v>
      </c>
      <c r="H16" s="89">
        <f>VLOOKUP($A16,'[4]Funder Arm Rev'!$AA$132:$AL$160,6,FALSE)</f>
        <v>0.53219961183059206</v>
      </c>
      <c r="I16" s="89">
        <f>VLOOKUP($A16,'[4]Funder Arm Rev'!$AN$132:$AY$160,6,FALSE)</f>
        <v>0.53841553365248951</v>
      </c>
      <c r="J16" s="89">
        <f>VLOOKUP($A16,'[4]Funder Arm Rev'!$A$231:$L$259,6,FALSE)</f>
        <v>0.54822286684746835</v>
      </c>
      <c r="K16" s="89">
        <f>VLOOKUP($A16,'[4]Funder Arm Rev'!$N$231:$X$259,6,FALSE)</f>
        <v>0.55717187585464145</v>
      </c>
      <c r="L16" s="89">
        <f>VLOOKUP($A16,'[4]Funder Arm Rev'!$AA$231:$AK$259,6,FALSE)</f>
        <v>0.54755898041073403</v>
      </c>
      <c r="M16" s="89">
        <f>VLOOKUP($A16,'[4]Funder Arm Rev'!$AN$231:$AY$259,6,FALSE)</f>
        <v>0.56552757535488662</v>
      </c>
      <c r="O16" s="209"/>
      <c r="P16" s="89"/>
      <c r="Q16" s="89"/>
      <c r="R16" s="89"/>
      <c r="S16" s="89"/>
      <c r="T16" s="89"/>
      <c r="U16" s="89"/>
      <c r="V16" s="89"/>
      <c r="W16" s="89"/>
      <c r="X16" s="89"/>
    </row>
    <row r="17" spans="1:24">
      <c r="A17" s="209" t="s">
        <v>227</v>
      </c>
      <c r="B17" s="89">
        <f>VLOOKUP($A17,'[4]Funder Arm Rev'!A$19:L$42,6,FALSE)/(VLOOKUP($A17,'[4]Funder Arm Rev'!A$19:L$42,6,FALSE)+VLOOKUP($A17,'[4]Funder Arm Rev'!A$19:L$42,10,FALSE))</f>
        <v>0.41736000096885145</v>
      </c>
      <c r="C17" s="89">
        <f>VLOOKUP($A17,'[4]Funder Arm Rev'!$N$19:$Y$42,6,FALSE)/(VLOOKUP($A17,'[4]Funder Arm Rev'!$N$19:$Y$42,6,FALSE)+VLOOKUP($A17,'[4]Funder Arm Rev'!$N$19:$Y$42,10,FALSE))</f>
        <v>0.43105341093012844</v>
      </c>
      <c r="D17" s="89">
        <f>VLOOKUP($A17,'[4]Funder Arm Rev'!$AA$19:$AL$41,6,FALSE)/(VLOOKUP($A17,'[4]Funder Arm Rev'!$AA$19:$AL$41,6,FALSE)+VLOOKUP($A17,'[4]Funder Arm Rev'!$AA$19:$AL$41,10,FALSE))</f>
        <v>0.43866452382186738</v>
      </c>
      <c r="E17" s="89">
        <f>VLOOKUP($A17,'[4]Funder Arm Rev'!$AN$19:$AY$41,6,FALSE)/(VLOOKUP($A17,'[4]Funder Arm Rev'!$AN$19:$AY$41,6,FALSE)+VLOOKUP($A17,'[4]Funder Arm Rev'!$AN$19:$AY$41,10,FALSE))</f>
        <v>0.45887916864377676</v>
      </c>
      <c r="F17" s="89">
        <f>VLOOKUP($A17,'[4]Funder Arm Rev'!$A$99:$L$127,6,FALSE)/(VLOOKUP($A17,'[4]Funder Arm Rev'!$A$99:$L$127,6,FALSE)+VLOOKUP($A17,'[4]Funder Arm Rev'!$A$99:$L$127,10,FALSE))</f>
        <v>0.44640434192673001</v>
      </c>
      <c r="G17" s="89">
        <f>VLOOKUP($A17,'[4]Funder Arm Rev'!$N$132:$Y$160,6,FALSE)</f>
        <v>0.44629185896906243</v>
      </c>
      <c r="H17" s="89">
        <f>VLOOKUP($A17,'[4]Funder Arm Rev'!$AA$132:$AL$160,6,FALSE)</f>
        <v>0.44946888523755524</v>
      </c>
      <c r="I17" s="89">
        <f>VLOOKUP($A17,'[4]Funder Arm Rev'!$AN$132:$AY$160,6,FALSE)</f>
        <v>0.44493524236801535</v>
      </c>
      <c r="J17" s="89">
        <f>VLOOKUP($A17,'[4]Funder Arm Rev'!$A$231:$L$259,6,FALSE)</f>
        <v>0.42996054825008162</v>
      </c>
      <c r="K17" s="89">
        <f>VLOOKUP($A17,'[4]Funder Arm Rev'!$N$231:$X$259,6,FALSE)</f>
        <v>0.42039271399691497</v>
      </c>
      <c r="L17" s="89">
        <f>VLOOKUP($A17,'[4]Funder Arm Rev'!$AA$231:$AK$259,6,FALSE)</f>
        <v>0.41839031123064774</v>
      </c>
      <c r="M17" s="89">
        <f>VLOOKUP($A17,'[4]Funder Arm Rev'!$AN$231:$AY$259,6,FALSE)</f>
        <v>0.42686134609514403</v>
      </c>
      <c r="O17" s="209"/>
      <c r="P17" s="89"/>
      <c r="Q17" s="89"/>
      <c r="R17" s="89"/>
      <c r="S17" s="89"/>
      <c r="T17" s="89"/>
      <c r="U17" s="89"/>
      <c r="V17" s="89"/>
      <c r="W17" s="89"/>
      <c r="X17" s="89"/>
    </row>
    <row r="18" spans="1:24">
      <c r="A18" s="209" t="s">
        <v>228</v>
      </c>
      <c r="B18" s="89">
        <f>VLOOKUP($A18,'[4]Funder Arm Rev'!A$19:L$42,6,FALSE)/(VLOOKUP($A18,'[4]Funder Arm Rev'!A$19:L$42,6,FALSE)+VLOOKUP($A18,'[4]Funder Arm Rev'!A$19:L$42,10,FALSE))</f>
        <v>0.48237779373864548</v>
      </c>
      <c r="C18" s="89">
        <f>VLOOKUP($A18,'[4]Funder Arm Rev'!$N$19:$Y$42,6,FALSE)/(VLOOKUP($A18,'[4]Funder Arm Rev'!$N$19:$Y$42,6,FALSE)+VLOOKUP($A18,'[4]Funder Arm Rev'!$N$19:$Y$42,10,FALSE))</f>
        <v>0.47416088053056016</v>
      </c>
      <c r="D18" s="89">
        <f>VLOOKUP($A18,'[4]Funder Arm Rev'!$AA$19:$AL$41,6,FALSE)/(VLOOKUP($A18,'[4]Funder Arm Rev'!$AA$19:$AL$41,6,FALSE)+VLOOKUP($A18,'[4]Funder Arm Rev'!$AA$19:$AL$41,10,FALSE))</f>
        <v>0.48159282048850571</v>
      </c>
      <c r="E18" s="89">
        <f>VLOOKUP($A18,'[4]Funder Arm Rev'!$AN$19:$AY$41,6,FALSE)/(VLOOKUP($A18,'[4]Funder Arm Rev'!$AN$19:$AY$41,6,FALSE)+VLOOKUP($A18,'[4]Funder Arm Rev'!$AN$19:$AY$41,10,FALSE))</f>
        <v>0.46939733400087613</v>
      </c>
      <c r="F18" s="89">
        <f>VLOOKUP($A18,'[4]Funder Arm Rev'!$A$99:$L$127,6,FALSE)/(VLOOKUP($A18,'[4]Funder Arm Rev'!$A$99:$L$127,6,FALSE)+VLOOKUP($A18,'[4]Funder Arm Rev'!$A$99:$L$127,10,FALSE))</f>
        <v>0.48847447242788156</v>
      </c>
      <c r="G18" s="89">
        <f>VLOOKUP($A18,'[4]Funder Arm Rev'!$N$132:$Y$160,6,FALSE)</f>
        <v>0.48401517204009753</v>
      </c>
      <c r="H18" s="89">
        <f>VLOOKUP($A18,'[4]Funder Arm Rev'!$AA$132:$AL$160,6,FALSE)</f>
        <v>0.49477893286158209</v>
      </c>
      <c r="I18" s="89">
        <f>VLOOKUP($A18,'[4]Funder Arm Rev'!$AN$132:$AY$160,6,FALSE)</f>
        <v>0.49616976005656971</v>
      </c>
      <c r="J18" s="89">
        <f>VLOOKUP($A18,'[4]Funder Arm Rev'!$A$231:$L$259,6,FALSE)</f>
        <v>0.49502407105626534</v>
      </c>
      <c r="K18" s="89">
        <f>VLOOKUP($A18,'[4]Funder Arm Rev'!$N$231:$X$259,6,FALSE)</f>
        <v>0.48605566983838849</v>
      </c>
      <c r="L18" s="89">
        <f>VLOOKUP($A18,'[4]Funder Arm Rev'!$AA$231:$AK$259,6,FALSE)</f>
        <v>0.49846543658679465</v>
      </c>
      <c r="M18" s="89">
        <f>VLOOKUP($A18,'[4]Funder Arm Rev'!$AN$231:$AY$259,6,FALSE)</f>
        <v>0.4969321672022074</v>
      </c>
      <c r="O18" s="209"/>
      <c r="P18" s="89"/>
      <c r="Q18" s="89"/>
      <c r="R18" s="89"/>
      <c r="S18" s="89"/>
      <c r="T18" s="89"/>
      <c r="U18" s="89"/>
      <c r="V18" s="89"/>
      <c r="W18" s="89"/>
      <c r="X18" s="89"/>
    </row>
    <row r="19" spans="1:24">
      <c r="A19" s="209" t="s">
        <v>229</v>
      </c>
      <c r="B19" s="89">
        <f>VLOOKUP($A19,'[4]Funder Arm Rev'!A$19:L$42,6,FALSE)/(VLOOKUP($A19,'[4]Funder Arm Rev'!A$19:L$42,6,FALSE)+VLOOKUP($A19,'[4]Funder Arm Rev'!A$19:L$42,10,FALSE))</f>
        <v>0.53647471770588429</v>
      </c>
      <c r="C19" s="89">
        <f>VLOOKUP($A19,'[4]Funder Arm Rev'!$N$19:$Y$42,6,FALSE)/(VLOOKUP($A19,'[4]Funder Arm Rev'!$N$19:$Y$42,6,FALSE)+VLOOKUP($A19,'[4]Funder Arm Rev'!$N$19:$Y$42,10,FALSE))</f>
        <v>0.5359218159612229</v>
      </c>
      <c r="D19" s="89">
        <f>VLOOKUP($A19,'[4]Funder Arm Rev'!$AA$19:$AL$41,6,FALSE)/(VLOOKUP($A19,'[4]Funder Arm Rev'!$AA$19:$AL$41,6,FALSE)+VLOOKUP($A19,'[4]Funder Arm Rev'!$AA$19:$AL$41,10,FALSE))</f>
        <v>0.53100898606099201</v>
      </c>
      <c r="E19" s="89">
        <f>VLOOKUP($A19,'[4]Funder Arm Rev'!$AN$19:$AY$41,6,FALSE)/(VLOOKUP($A19,'[4]Funder Arm Rev'!$AN$19:$AY$41,6,FALSE)+VLOOKUP($A19,'[4]Funder Arm Rev'!$AN$19:$AY$41,10,FALSE))</f>
        <v>0.53674260920818551</v>
      </c>
      <c r="F19" s="89">
        <f>VLOOKUP($A19,'[4]Funder Arm Rev'!$A$99:$L$127,6,FALSE)/(VLOOKUP($A19,'[4]Funder Arm Rev'!$A$99:$L$127,6,FALSE)+VLOOKUP($A19,'[4]Funder Arm Rev'!$A$99:$L$127,10,FALSE))</f>
        <v>0.53986174062241643</v>
      </c>
      <c r="G19" s="89">
        <f>VLOOKUP($A19,'[4]Funder Arm Rev'!$N$132:$Y$160,6,FALSE)</f>
        <v>0.53694807502625597</v>
      </c>
      <c r="H19" s="89">
        <f>VLOOKUP($A19,'[4]Funder Arm Rev'!$AA$132:$AL$160,6,FALSE)</f>
        <v>0.54002985928517966</v>
      </c>
      <c r="I19" s="89">
        <f>VLOOKUP($A19,'[4]Funder Arm Rev'!$AN$132:$AY$160,6,FALSE)</f>
        <v>0.53737676300044601</v>
      </c>
      <c r="J19" s="89">
        <f>VLOOKUP($A19,'[4]Funder Arm Rev'!$A$231:$L$259,6,FALSE)</f>
        <v>0.53326774604602356</v>
      </c>
      <c r="K19" s="89">
        <f>VLOOKUP($A19,'[4]Funder Arm Rev'!$N$231:$X$259,6,FALSE)</f>
        <v>0.53637300049581671</v>
      </c>
      <c r="L19" s="89">
        <f>VLOOKUP($A19,'[4]Funder Arm Rev'!$AA$231:$AK$259,6,FALSE)</f>
        <v>0.52101481415506146</v>
      </c>
      <c r="M19" s="89">
        <f>VLOOKUP($A19,'[4]Funder Arm Rev'!$AN$231:$AY$259,6,FALSE)</f>
        <v>0.51755955206616744</v>
      </c>
      <c r="O19" s="209"/>
      <c r="P19" s="89"/>
      <c r="Q19" s="89"/>
      <c r="R19" s="89"/>
      <c r="S19" s="89"/>
      <c r="T19" s="89"/>
      <c r="U19" s="89"/>
      <c r="V19" s="89"/>
      <c r="W19" s="89"/>
      <c r="X19" s="89"/>
    </row>
    <row r="20" spans="1:24">
      <c r="A20" s="209" t="s">
        <v>230</v>
      </c>
      <c r="B20" s="89">
        <f>VLOOKUP($A20,'[4]Funder Arm Rev'!A$19:L$42,6,FALSE)/(VLOOKUP($A20,'[4]Funder Arm Rev'!A$19:L$42,6,FALSE)+VLOOKUP($A20,'[4]Funder Arm Rev'!A$19:L$42,10,FALSE))</f>
        <v>0.54884832340958944</v>
      </c>
      <c r="C20" s="89">
        <f>VLOOKUP($A20,'[4]Funder Arm Rev'!$N$19:$Y$42,6,FALSE)/(VLOOKUP($A20,'[4]Funder Arm Rev'!$N$19:$Y$42,6,FALSE)+VLOOKUP($A20,'[4]Funder Arm Rev'!$N$19:$Y$42,10,FALSE))</f>
        <v>0.55473366668044133</v>
      </c>
      <c r="D20" s="89">
        <f>VLOOKUP($A20,'[4]Funder Arm Rev'!$AA$19:$AL$41,6,FALSE)/(VLOOKUP($A20,'[4]Funder Arm Rev'!$AA$19:$AL$41,6,FALSE)+VLOOKUP($A20,'[4]Funder Arm Rev'!$AA$19:$AL$41,10,FALSE))</f>
        <v>0.5429422782763712</v>
      </c>
      <c r="E20" s="89">
        <f>VLOOKUP($A20,'[4]Funder Arm Rev'!$AN$19:$AY$41,6,FALSE)/(VLOOKUP($A20,'[4]Funder Arm Rev'!$AN$19:$AY$41,6,FALSE)+VLOOKUP($A20,'[4]Funder Arm Rev'!$AN$19:$AY$41,10,FALSE))</f>
        <v>0.54253118442140891</v>
      </c>
      <c r="F20" s="89">
        <f>VLOOKUP($A20,'[4]Funder Arm Rev'!$A$99:$L$127,6,FALSE)/(VLOOKUP($A20,'[4]Funder Arm Rev'!$A$99:$L$127,6,FALSE)+VLOOKUP($A20,'[4]Funder Arm Rev'!$A$99:$L$127,10,FALSE))</f>
        <v>0.53640162620543108</v>
      </c>
      <c r="G20" s="89">
        <f>VLOOKUP($A20,'[4]Funder Arm Rev'!$N$132:$Y$160,6,FALSE)</f>
        <v>0.53593703886214006</v>
      </c>
      <c r="H20" s="89">
        <f>VLOOKUP($A20,'[4]Funder Arm Rev'!$AA$132:$AL$160,6,FALSE)</f>
        <v>0.53447034066878696</v>
      </c>
      <c r="I20" s="89">
        <f>VLOOKUP($A20,'[4]Funder Arm Rev'!$AN$132:$AY$160,6,FALSE)</f>
        <v>0.53550487299388438</v>
      </c>
      <c r="J20" s="89">
        <f>VLOOKUP($A20,'[4]Funder Arm Rev'!$A$231:$L$259,6,FALSE)</f>
        <v>0.53911649374968729</v>
      </c>
      <c r="K20" s="89">
        <f>VLOOKUP($A20,'[4]Funder Arm Rev'!$N$231:$X$259,6,FALSE)</f>
        <v>0.53512001455275615</v>
      </c>
      <c r="L20" s="89">
        <f>VLOOKUP($A20,'[4]Funder Arm Rev'!$AA$231:$AK$259,6,FALSE)</f>
        <v>0.54809311654267956</v>
      </c>
      <c r="M20" s="89">
        <f>VLOOKUP($A20,'[4]Funder Arm Rev'!$AN$231:$AY$259,6,FALSE)</f>
        <v>0.54560790967332684</v>
      </c>
      <c r="O20" s="209"/>
      <c r="P20" s="89"/>
      <c r="Q20" s="89"/>
      <c r="R20" s="89"/>
      <c r="S20" s="89"/>
      <c r="T20" s="89"/>
      <c r="U20" s="89"/>
      <c r="V20" s="89"/>
      <c r="W20" s="89"/>
      <c r="X20" s="89"/>
    </row>
    <row r="21" spans="1:24">
      <c r="A21" s="209" t="s">
        <v>231</v>
      </c>
      <c r="B21" s="89">
        <f>VLOOKUP($A21,'[4]Funder Arm Rev'!A$19:L$42,6,FALSE)/(VLOOKUP($A21,'[4]Funder Arm Rev'!A$19:L$42,6,FALSE)+VLOOKUP($A21,'[4]Funder Arm Rev'!A$19:L$42,10,FALSE))</f>
        <v>0.48112600121018245</v>
      </c>
      <c r="C21" s="89">
        <f>VLOOKUP($A21,'[4]Funder Arm Rev'!$N$19:$Y$42,6,FALSE)/(VLOOKUP($A21,'[4]Funder Arm Rev'!$N$19:$Y$42,6,FALSE)+VLOOKUP($A21,'[4]Funder Arm Rev'!$N$19:$Y$42,10,FALSE))</f>
        <v>0.48680153432218359</v>
      </c>
      <c r="D21" s="89">
        <f>VLOOKUP($A21,'[4]Funder Arm Rev'!$AA$19:$AL$41,6,FALSE)/(VLOOKUP($A21,'[4]Funder Arm Rev'!$AA$19:$AL$41,6,FALSE)+VLOOKUP($A21,'[4]Funder Arm Rev'!$AA$19:$AL$41,10,FALSE))</f>
        <v>0.50779346142843995</v>
      </c>
      <c r="E21" s="89">
        <f>VLOOKUP($A21,'[4]Funder Arm Rev'!$AN$19:$AY$41,6,FALSE)/(VLOOKUP($A21,'[4]Funder Arm Rev'!$AN$19:$AY$41,6,FALSE)+VLOOKUP($A21,'[4]Funder Arm Rev'!$AN$19:$AY$41,10,FALSE))</f>
        <v>0.51308092215650614</v>
      </c>
      <c r="F21" s="89">
        <f>VLOOKUP($A21,'[4]Funder Arm Rev'!$A$99:$L$127,6,FALSE)/(VLOOKUP($A21,'[4]Funder Arm Rev'!$A$99:$L$127,6,FALSE)+VLOOKUP($A21,'[4]Funder Arm Rev'!$A$99:$L$127,10,FALSE))</f>
        <v>0.51954495730849204</v>
      </c>
      <c r="G21" s="89">
        <f>VLOOKUP($A21,'[4]Funder Arm Rev'!$N$132:$Y$160,6,FALSE)</f>
        <v>0.52185469842012466</v>
      </c>
      <c r="H21" s="89">
        <f>VLOOKUP($A21,'[4]Funder Arm Rev'!$AA$132:$AL$160,6,FALSE)</f>
        <v>0.53408670237465261</v>
      </c>
      <c r="I21" s="89">
        <f>VLOOKUP($A21,'[4]Funder Arm Rev'!$AN$132:$AY$160,6,FALSE)</f>
        <v>0.53132220803752828</v>
      </c>
      <c r="J21" s="89">
        <f>VLOOKUP($A21,'[4]Funder Arm Rev'!$A$231:$L$259,6,FALSE)</f>
        <v>0.53777238104408254</v>
      </c>
      <c r="K21" s="89">
        <f>VLOOKUP($A21,'[4]Funder Arm Rev'!$N$231:$X$259,6,FALSE)</f>
        <v>0.53704635884596008</v>
      </c>
      <c r="L21" s="89">
        <f>VLOOKUP($A21,'[4]Funder Arm Rev'!$AA$231:$AK$259,6,FALSE)</f>
        <v>0.53946198850452787</v>
      </c>
      <c r="M21" s="89">
        <f>VLOOKUP($A21,'[4]Funder Arm Rev'!$AN$231:$AY$259,6,FALSE)</f>
        <v>0.5468290326801879</v>
      </c>
      <c r="O21" s="209"/>
      <c r="P21" s="89"/>
      <c r="Q21" s="89"/>
      <c r="R21" s="89"/>
      <c r="S21" s="89"/>
      <c r="T21" s="89"/>
      <c r="U21" s="89"/>
      <c r="V21" s="89"/>
      <c r="W21" s="89"/>
      <c r="X21" s="89"/>
    </row>
    <row r="22" spans="1:24">
      <c r="A22" s="209" t="s">
        <v>232</v>
      </c>
      <c r="B22" s="89">
        <f>VLOOKUP($A22,'[4]Funder Arm Rev'!A$19:L$42,6,FALSE)/(VLOOKUP($A22,'[4]Funder Arm Rev'!A$19:L$42,6,FALSE)+VLOOKUP($A22,'[4]Funder Arm Rev'!A$19:L$42,10,FALSE))</f>
        <v>0.50921304481399454</v>
      </c>
      <c r="C22" s="89">
        <f>VLOOKUP($A22,'[4]Funder Arm Rev'!$N$19:$Y$42,6,FALSE)/(VLOOKUP($A22,'[4]Funder Arm Rev'!$N$19:$Y$42,6,FALSE)+VLOOKUP($A22,'[4]Funder Arm Rev'!$N$19:$Y$42,10,FALSE))</f>
        <v>0.51761391081020536</v>
      </c>
      <c r="D22" s="89"/>
      <c r="E22" s="89"/>
      <c r="F22" s="89"/>
      <c r="G22" s="89"/>
      <c r="H22" s="89"/>
      <c r="I22" s="89"/>
      <c r="J22" s="89"/>
      <c r="K22" s="89"/>
      <c r="L22" s="89"/>
      <c r="M22" s="89"/>
      <c r="O22" s="209"/>
      <c r="P22" s="89"/>
      <c r="Q22" s="89"/>
      <c r="R22" s="89"/>
      <c r="S22" s="89"/>
      <c r="T22" s="89"/>
      <c r="U22" s="89"/>
      <c r="V22" s="89"/>
      <c r="W22" s="89"/>
      <c r="X22" s="89"/>
    </row>
    <row r="23" spans="1:24">
      <c r="A23" s="209" t="s">
        <v>233</v>
      </c>
      <c r="B23" s="89">
        <f>VLOOKUP($A23,'[4]Funder Arm Rev'!A$19:L$42,6,FALSE)/(VLOOKUP($A23,'[4]Funder Arm Rev'!A$19:L$42,6,FALSE)+VLOOKUP($A23,'[4]Funder Arm Rev'!A$19:L$42,10,FALSE))</f>
        <v>0.45826516334885509</v>
      </c>
      <c r="C23" s="89">
        <f>VLOOKUP($A23,'[4]Funder Arm Rev'!$N$19:$Y$42,6,FALSE)/(VLOOKUP($A23,'[4]Funder Arm Rev'!$N$19:$Y$42,6,FALSE)+VLOOKUP($A23,'[4]Funder Arm Rev'!$N$19:$Y$42,10,FALSE))</f>
        <v>0.47015408027392047</v>
      </c>
      <c r="D23" s="89">
        <f>VLOOKUP($A23,'[4]Funder Arm Rev'!$AA$19:$AL$41,6,FALSE)/(VLOOKUP($A23,'[4]Funder Arm Rev'!$AA$19:$AL$41,6,FALSE)+VLOOKUP($A23,'[4]Funder Arm Rev'!$AA$19:$AL$41,10,FALSE))</f>
        <v>0.46895855314686674</v>
      </c>
      <c r="E23" s="89">
        <f>VLOOKUP($A23,'[4]Funder Arm Rev'!$AN$19:$AY$41,6,FALSE)/(VLOOKUP($A23,'[4]Funder Arm Rev'!$AN$19:$AY$41,6,FALSE)+VLOOKUP($A23,'[4]Funder Arm Rev'!$AN$19:$AY$41,10,FALSE))</f>
        <v>0.48161898203217929</v>
      </c>
      <c r="F23" s="89">
        <f>VLOOKUP($A23,'[4]Funder Arm Rev'!$A$99:$L$127,6,FALSE)/(VLOOKUP($A23,'[4]Funder Arm Rev'!$A$99:$L$127,6,FALSE)+VLOOKUP($A23,'[4]Funder Arm Rev'!$A$99:$L$127,10,FALSE))</f>
        <v>0.48928412465169596</v>
      </c>
      <c r="G23" s="89">
        <f>VLOOKUP($A23,'[4]Funder Arm Rev'!$N$132:$Y$160,6,FALSE)</f>
        <v>0.48908469226722778</v>
      </c>
      <c r="H23" s="89">
        <f>VLOOKUP($A23,'[4]Funder Arm Rev'!$AA$132:$AL$160,6,FALSE)</f>
        <v>0.502954370410437</v>
      </c>
      <c r="I23" s="89">
        <f>VLOOKUP($A23,'[4]Funder Arm Rev'!$AN$132:$AY$160,6,FALSE)</f>
        <v>0.48994648844793531</v>
      </c>
      <c r="J23" s="89">
        <f>VLOOKUP($A23,'[4]Funder Arm Rev'!$A$231:$L$259,6,FALSE)</f>
        <v>0.49323595224843536</v>
      </c>
      <c r="K23" s="89">
        <f>VLOOKUP($A23,'[4]Funder Arm Rev'!$N$231:$X$259,6,FALSE)</f>
        <v>0.47969428214841897</v>
      </c>
      <c r="L23" s="89">
        <f>VLOOKUP($A23,'[4]Funder Arm Rev'!$AA$231:$AK$259,6,FALSE)</f>
        <v>0.47290530173883394</v>
      </c>
      <c r="M23" s="89">
        <f>VLOOKUP($A23,'[4]Funder Arm Rev'!$AN$231:$AY$259,6,FALSE)</f>
        <v>0.46903148500123959</v>
      </c>
      <c r="O23" s="209"/>
      <c r="P23" s="89"/>
      <c r="Q23" s="89"/>
      <c r="R23" s="89"/>
      <c r="S23" s="89"/>
      <c r="T23" s="89"/>
      <c r="U23" s="89"/>
      <c r="V23" s="89"/>
      <c r="W23" s="89"/>
      <c r="X23" s="89"/>
    </row>
    <row r="24" spans="1:24">
      <c r="A24" s="209" t="s">
        <v>234</v>
      </c>
      <c r="B24" s="89"/>
      <c r="C24" s="89"/>
      <c r="D24" s="89">
        <f>VLOOKUP($A24,'[4]Funder Arm Rev'!$AA$19:$AL$41,6,FALSE)/(VLOOKUP($A24,'[4]Funder Arm Rev'!$AA$19:$AL$41,6,FALSE)+VLOOKUP($A24,'[4]Funder Arm Rev'!$AA$19:$AL$41,10,FALSE))</f>
        <v>0.52547510674424092</v>
      </c>
      <c r="E24" s="89">
        <f>VLOOKUP($A24,'[4]Funder Arm Rev'!$AN$19:$AY$41,6,FALSE)/(VLOOKUP($A24,'[4]Funder Arm Rev'!$AN$19:$AY$41,6,FALSE)+VLOOKUP($A24,'[4]Funder Arm Rev'!$AN$19:$AY$41,10,FALSE))</f>
        <v>0.54871615441907606</v>
      </c>
      <c r="F24" s="89">
        <f>VLOOKUP($A24,'[4]Funder Arm Rev'!$A$99:$L$127,6,FALSE)/(VLOOKUP($A24,'[4]Funder Arm Rev'!$A$99:$L$127,6,FALSE)+VLOOKUP($A24,'[4]Funder Arm Rev'!$A$99:$L$127,10,FALSE))</f>
        <v>0.54524110986461638</v>
      </c>
      <c r="G24" s="89">
        <f>VLOOKUP($A24,'[4]Funder Arm Rev'!$N$132:$Y$160,6,FALSE)</f>
        <v>0.54190129933894282</v>
      </c>
      <c r="H24" s="89">
        <f>VLOOKUP($A24,'[4]Funder Arm Rev'!$AA$132:$AL$160,6,FALSE)</f>
        <v>0.53773229438155279</v>
      </c>
      <c r="I24" s="89">
        <f>VLOOKUP($A24,'[4]Funder Arm Rev'!$AN$132:$AY$160,6,FALSE)</f>
        <v>0.5502735626557731</v>
      </c>
      <c r="J24" s="89">
        <f>VLOOKUP($A24,'[4]Funder Arm Rev'!$A$231:$L$259,6,FALSE)</f>
        <v>0.56044545509801169</v>
      </c>
      <c r="K24" s="89">
        <f>VLOOKUP($A24,'[4]Funder Arm Rev'!$N$231:$X$259,6,FALSE)</f>
        <v>0.55896948710446914</v>
      </c>
      <c r="L24" s="89">
        <f>VLOOKUP($A24,'[4]Funder Arm Rev'!$AA$231:$AK$259,6,FALSE)</f>
        <v>0.55322631244859155</v>
      </c>
      <c r="M24" s="89">
        <f>VLOOKUP($A24,'[4]Funder Arm Rev'!$AN$231:$AY$259,6,FALSE)</f>
        <v>0.55052584970980412</v>
      </c>
      <c r="O24" s="209"/>
      <c r="P24" s="89"/>
      <c r="Q24" s="89"/>
      <c r="R24" s="89"/>
      <c r="S24" s="89"/>
      <c r="T24" s="89"/>
      <c r="U24" s="89"/>
      <c r="V24" s="89"/>
      <c r="W24" s="89"/>
      <c r="X24" s="89"/>
    </row>
    <row r="25" spans="1:24">
      <c r="A25" s="209" t="s">
        <v>235</v>
      </c>
      <c r="B25" s="89">
        <f>VLOOKUP($A25,'[4]Funder Arm Rev'!A$19:L$42,6,FALSE)/(VLOOKUP($A25,'[4]Funder Arm Rev'!A$19:L$42,6,FALSE)+VLOOKUP($A25,'[4]Funder Arm Rev'!A$19:L$42,10,FALSE))</f>
        <v>0.47237326555736053</v>
      </c>
      <c r="C25" s="89">
        <f>VLOOKUP($A25,'[4]Funder Arm Rev'!$N$19:$Y$42,6,FALSE)/(VLOOKUP($A25,'[4]Funder Arm Rev'!$N$19:$Y$42,6,FALSE)+VLOOKUP($A25,'[4]Funder Arm Rev'!$N$19:$Y$42,10,FALSE))</f>
        <v>0.48809739987774026</v>
      </c>
      <c r="D25" s="89"/>
      <c r="E25" s="89"/>
      <c r="F25" s="89"/>
      <c r="G25" s="89"/>
      <c r="H25" s="89"/>
      <c r="I25" s="89"/>
      <c r="J25" s="89"/>
      <c r="K25" s="89"/>
      <c r="L25" s="89"/>
      <c r="M25" s="89"/>
      <c r="O25" s="209"/>
      <c r="P25" s="89"/>
      <c r="Q25" s="89"/>
      <c r="R25" s="89"/>
      <c r="S25" s="89"/>
      <c r="T25" s="89"/>
      <c r="U25" s="89"/>
      <c r="V25" s="89"/>
      <c r="W25" s="89"/>
      <c r="X25" s="89"/>
    </row>
    <row r="26" spans="1:24">
      <c r="A26" s="209" t="s">
        <v>236</v>
      </c>
      <c r="B26" s="89">
        <f>VLOOKUP($A26,'[4]Funder Arm Rev'!A$19:L$42,6,FALSE)/(VLOOKUP($A26,'[4]Funder Arm Rev'!A$19:L$42,6,FALSE)+VLOOKUP($A26,'[4]Funder Arm Rev'!A$19:L$42,10,FALSE))</f>
        <v>0.52575199725186428</v>
      </c>
      <c r="C26" s="89">
        <f>VLOOKUP($A26,'[4]Funder Arm Rev'!$N$19:$Y$42,6,FALSE)/(VLOOKUP($A26,'[4]Funder Arm Rev'!$N$19:$Y$42,6,FALSE)+VLOOKUP($A26,'[4]Funder Arm Rev'!$N$19:$Y$42,10,FALSE))</f>
        <v>0.51480485676763443</v>
      </c>
      <c r="D26" s="89">
        <f>VLOOKUP($A26,'[4]Funder Arm Rev'!$AA$19:$AL$41,6,FALSE)/(VLOOKUP($A26,'[4]Funder Arm Rev'!$AA$19:$AL$41,6,FALSE)+VLOOKUP($A26,'[4]Funder Arm Rev'!$AA$19:$AL$41,10,FALSE))</f>
        <v>0.52576687466996697</v>
      </c>
      <c r="E26" s="89">
        <f>VLOOKUP($A26,'[4]Funder Arm Rev'!$AN$19:$AY$41,6,FALSE)/(VLOOKUP($A26,'[4]Funder Arm Rev'!$AN$19:$AY$41,6,FALSE)+VLOOKUP($A26,'[4]Funder Arm Rev'!$AN$19:$AY$41,10,FALSE))</f>
        <v>0.52568718271069104</v>
      </c>
      <c r="F26" s="89">
        <f>VLOOKUP($A26,'[4]Funder Arm Rev'!$A$99:$L$127,6,FALSE)/(VLOOKUP($A26,'[4]Funder Arm Rev'!$A$99:$L$127,6,FALSE)+VLOOKUP($A26,'[4]Funder Arm Rev'!$A$99:$L$127,10,FALSE))</f>
        <v>0.54124994783769875</v>
      </c>
      <c r="G26" s="89">
        <f>VLOOKUP($A26,'[4]Funder Arm Rev'!$N$132:$Y$160,6,FALSE)</f>
        <v>0.54700236566407567</v>
      </c>
      <c r="H26" s="89">
        <f>VLOOKUP($A26,'[4]Funder Arm Rev'!$AA$132:$AL$160,6,FALSE)</f>
        <v>0.55180070824995187</v>
      </c>
      <c r="I26" s="89">
        <f>VLOOKUP($A26,'[4]Funder Arm Rev'!$AN$132:$AY$160,6,FALSE)</f>
        <v>0.54745646978490947</v>
      </c>
      <c r="J26" s="89">
        <f>VLOOKUP($A26,'[4]Funder Arm Rev'!$A$231:$L$259,6,FALSE)</f>
        <v>0.53304234319278332</v>
      </c>
      <c r="K26" s="89">
        <f>VLOOKUP($A26,'[4]Funder Arm Rev'!$N$231:$X$259,6,FALSE)</f>
        <v>0.52305308020147234</v>
      </c>
      <c r="L26" s="89">
        <f>VLOOKUP($A26,'[4]Funder Arm Rev'!$AA$231:$AK$259,6,FALSE)</f>
        <v>0.5115048943785212</v>
      </c>
      <c r="M26" s="89">
        <f>VLOOKUP($A26,'[4]Funder Arm Rev'!$AN$231:$AY$259,6,FALSE)</f>
        <v>0.50904576090812348</v>
      </c>
      <c r="O26" s="209"/>
      <c r="P26" s="89"/>
      <c r="Q26" s="89"/>
      <c r="R26" s="89"/>
      <c r="S26" s="89"/>
      <c r="T26" s="89"/>
      <c r="U26" s="89"/>
      <c r="V26" s="89"/>
      <c r="W26" s="89"/>
      <c r="X26" s="89"/>
    </row>
    <row r="27" spans="1:24">
      <c r="A27" s="209" t="s">
        <v>237</v>
      </c>
      <c r="B27" s="89">
        <f>VLOOKUP($A27,'[4]Funder Arm Rev'!A$19:L$42,6,FALSE)/(VLOOKUP($A27,'[4]Funder Arm Rev'!A$19:L$42,6,FALSE)+VLOOKUP($A27,'[4]Funder Arm Rev'!A$19:L$42,10,FALSE))</f>
        <v>0.53761111587054877</v>
      </c>
      <c r="C27" s="89">
        <f>VLOOKUP($A27,'[4]Funder Arm Rev'!$N$19:$Y$42,6,FALSE)/(VLOOKUP($A27,'[4]Funder Arm Rev'!$N$19:$Y$42,6,FALSE)+VLOOKUP($A27,'[4]Funder Arm Rev'!$N$19:$Y$42,10,FALSE))</f>
        <v>0.5383112282599587</v>
      </c>
      <c r="D27" s="89">
        <f>VLOOKUP($A27,'[4]Funder Arm Rev'!$AA$19:$AL$41,6,FALSE)/(VLOOKUP($A27,'[4]Funder Arm Rev'!$AA$19:$AL$41,6,FALSE)+VLOOKUP($A27,'[4]Funder Arm Rev'!$AA$19:$AL$41,10,FALSE))</f>
        <v>0.52118729120965779</v>
      </c>
      <c r="E27" s="89">
        <f>VLOOKUP($A27,'[4]Funder Arm Rev'!$AN$19:$AY$41,6,FALSE)/(VLOOKUP($A27,'[4]Funder Arm Rev'!$AN$19:$AY$41,6,FALSE)+VLOOKUP($A27,'[4]Funder Arm Rev'!$AN$19:$AY$41,10,FALSE))</f>
        <v>0.52706735991731613</v>
      </c>
      <c r="F27" s="89">
        <f>VLOOKUP($A27,'[4]Funder Arm Rev'!$A$99:$L$127,6,FALSE)/(VLOOKUP($A27,'[4]Funder Arm Rev'!$A$99:$L$127,6,FALSE)+VLOOKUP($A27,'[4]Funder Arm Rev'!$A$99:$L$127,10,FALSE))</f>
        <v>0.52155715989100293</v>
      </c>
      <c r="G27" s="89">
        <f>VLOOKUP($A27,'[4]Funder Arm Rev'!$N$132:$Y$160,6,FALSE)</f>
        <v>0.52696933643934774</v>
      </c>
      <c r="H27" s="89">
        <f>VLOOKUP($A27,'[4]Funder Arm Rev'!$AA$132:$AL$160,6,FALSE)</f>
        <v>0.51853962031951506</v>
      </c>
      <c r="I27" s="89">
        <f>VLOOKUP($A27,'[4]Funder Arm Rev'!$AN$132:$AY$160,6,FALSE)</f>
        <v>0.52264112793224193</v>
      </c>
      <c r="J27" s="89">
        <f>VLOOKUP($A27,'[4]Funder Arm Rev'!$A$231:$L$259,6,FALSE)</f>
        <v>0.52735362649348072</v>
      </c>
      <c r="K27" s="89">
        <f>VLOOKUP($A27,'[4]Funder Arm Rev'!$N$231:$X$259,6,FALSE)</f>
        <v>0.5366311321356243</v>
      </c>
      <c r="L27" s="89">
        <f>VLOOKUP($A27,'[4]Funder Arm Rev'!$AA$231:$AK$259,6,FALSE)</f>
        <v>0.52836785567807976</v>
      </c>
      <c r="M27" s="89">
        <f>VLOOKUP($A27,'[4]Funder Arm Rev'!$AN$231:$AY$259,6,FALSE)</f>
        <v>0.5301479078060829</v>
      </c>
      <c r="O27" s="209"/>
      <c r="P27" s="89"/>
      <c r="Q27" s="89"/>
      <c r="R27" s="89"/>
      <c r="S27" s="89"/>
      <c r="T27" s="89"/>
      <c r="U27" s="89"/>
      <c r="V27" s="89"/>
      <c r="W27" s="89"/>
      <c r="X27" s="89"/>
    </row>
    <row r="28" spans="1:24">
      <c r="A28" s="209" t="s">
        <v>238</v>
      </c>
      <c r="B28" s="89">
        <f>VLOOKUP($A28,'[4]Funder Arm Rev'!A$19:L$42,6,FALSE)/(VLOOKUP($A28,'[4]Funder Arm Rev'!A$19:L$42,6,FALSE)+VLOOKUP($A28,'[4]Funder Arm Rev'!A$19:L$42,10,FALSE))</f>
        <v>0.58413664849703262</v>
      </c>
      <c r="C28" s="89">
        <f>VLOOKUP($A28,'[4]Funder Arm Rev'!$N$19:$Y$42,6,FALSE)/(VLOOKUP($A28,'[4]Funder Arm Rev'!$N$19:$Y$42,6,FALSE)+VLOOKUP($A28,'[4]Funder Arm Rev'!$N$19:$Y$42,10,FALSE))</f>
        <v>0.59678485590575192</v>
      </c>
      <c r="D28" s="89">
        <f>VLOOKUP($A28,'[4]Funder Arm Rev'!$AA$19:$AL$41,6,FALSE)/(VLOOKUP($A28,'[4]Funder Arm Rev'!$AA$19:$AL$41,6,FALSE)+VLOOKUP($A28,'[4]Funder Arm Rev'!$AA$19:$AL$41,10,FALSE))</f>
        <v>0.60595452419815943</v>
      </c>
      <c r="E28" s="89">
        <f>VLOOKUP($A28,'[4]Funder Arm Rev'!$AN$19:$AY$41,6,FALSE)/(VLOOKUP($A28,'[4]Funder Arm Rev'!$AN$19:$AY$41,6,FALSE)+VLOOKUP($A28,'[4]Funder Arm Rev'!$AN$19:$AY$41,10,FALSE))</f>
        <v>0.59589002662901658</v>
      </c>
      <c r="F28" s="89">
        <f>VLOOKUP($A28,'[4]Funder Arm Rev'!$A$99:$L$127,6,FALSE)/(VLOOKUP($A28,'[4]Funder Arm Rev'!$A$99:$L$127,6,FALSE)+VLOOKUP($A28,'[4]Funder Arm Rev'!$A$99:$L$127,10,FALSE))</f>
        <v>0.61026486711373684</v>
      </c>
      <c r="G28" s="89">
        <f>VLOOKUP($A28,'[4]Funder Arm Rev'!$N$132:$Y$160,6,FALSE)</f>
        <v>0.61030705385214412</v>
      </c>
      <c r="H28" s="89">
        <f>VLOOKUP($A28,'[4]Funder Arm Rev'!$AA$132:$AL$160,6,FALSE)</f>
        <v>0.61116780886978805</v>
      </c>
      <c r="I28" s="89">
        <f>VLOOKUP($A28,'[4]Funder Arm Rev'!$AN$132:$AY$160,6,FALSE)</f>
        <v>0.61114573397303784</v>
      </c>
      <c r="J28" s="89">
        <f>VLOOKUP($A28,'[4]Funder Arm Rev'!$A$231:$L$259,6,FALSE)</f>
        <v>0.6103034908612579</v>
      </c>
      <c r="K28" s="89">
        <f>VLOOKUP($A28,'[4]Funder Arm Rev'!$N$231:$X$259,6,FALSE)</f>
        <v>0.62490951979948695</v>
      </c>
      <c r="L28" s="89">
        <f>VLOOKUP($A28,'[4]Funder Arm Rev'!$AA$231:$AK$259,6,FALSE)</f>
        <v>0.62782881789337874</v>
      </c>
      <c r="M28" s="89">
        <f>VLOOKUP($A28,'[4]Funder Arm Rev'!$AN$231:$AY$259,6,FALSE)</f>
        <v>0.63116939240196335</v>
      </c>
      <c r="O28" s="209"/>
      <c r="P28" s="89"/>
      <c r="Q28" s="89"/>
      <c r="R28" s="89"/>
      <c r="S28" s="89"/>
      <c r="T28" s="89"/>
      <c r="U28" s="89"/>
      <c r="V28" s="89"/>
      <c r="W28" s="89"/>
      <c r="X28" s="89"/>
    </row>
    <row r="29" spans="1:24">
      <c r="A29" s="209" t="s">
        <v>239</v>
      </c>
      <c r="B29" s="89">
        <f>VLOOKUP($A29,'[4]Funder Arm Rev'!A$19:L$42,6,FALSE)/(VLOOKUP($A29,'[4]Funder Arm Rev'!A$19:L$42,6,FALSE)+VLOOKUP($A29,'[4]Funder Arm Rev'!A$19:L$42,10,FALSE))</f>
        <v>0.45079518930252799</v>
      </c>
      <c r="C29" s="89">
        <f>VLOOKUP($A29,'[4]Funder Arm Rev'!$N$19:$Y$42,6,FALSE)/(VLOOKUP($A29,'[4]Funder Arm Rev'!$N$19:$Y$42,6,FALSE)+VLOOKUP($A29,'[4]Funder Arm Rev'!$N$19:$Y$42,10,FALSE))</f>
        <v>0.44951680691015194</v>
      </c>
      <c r="D29" s="89">
        <f>VLOOKUP($A29,'[4]Funder Arm Rev'!$AA$19:$AL$41,6,FALSE)/(VLOOKUP($A29,'[4]Funder Arm Rev'!$AA$19:$AL$41,6,FALSE)+VLOOKUP($A29,'[4]Funder Arm Rev'!$AA$19:$AL$41,10,FALSE))</f>
        <v>0.43506598483752668</v>
      </c>
      <c r="E29" s="89">
        <f>VLOOKUP($A29,'[4]Funder Arm Rev'!$AN$19:$AY$41,6,FALSE)/(VLOOKUP($A29,'[4]Funder Arm Rev'!$AN$19:$AY$41,6,FALSE)+VLOOKUP($A29,'[4]Funder Arm Rev'!$AN$19:$AY$41,10,FALSE))</f>
        <v>0.42979197313852113</v>
      </c>
      <c r="F29" s="89">
        <f>VLOOKUP($A29,'[4]Funder Arm Rev'!$A$99:$L$127,6,FALSE)/(VLOOKUP($A29,'[4]Funder Arm Rev'!$A$99:$L$127,6,FALSE)+VLOOKUP($A29,'[4]Funder Arm Rev'!$A$99:$L$127,10,FALSE))</f>
        <v>0.4307219539450054</v>
      </c>
      <c r="G29" s="89">
        <f>VLOOKUP($A29,'[4]Funder Arm Rev'!$N$132:$Y$160,6,FALSE)</f>
        <v>0.43417229059150458</v>
      </c>
      <c r="H29" s="89">
        <f>VLOOKUP($A29,'[4]Funder Arm Rev'!$AA$132:$AL$160,6,FALSE)</f>
        <v>0.43611033367540503</v>
      </c>
      <c r="I29" s="89">
        <f>VLOOKUP($A29,'[4]Funder Arm Rev'!$AN$132:$AY$160,6,FALSE)</f>
        <v>0.42331658906193848</v>
      </c>
      <c r="J29" s="89">
        <f>VLOOKUP($A29,'[4]Funder Arm Rev'!$A$231:$L$259,6,FALSE)</f>
        <v>0.4188127440230503</v>
      </c>
      <c r="K29" s="89">
        <f>VLOOKUP($A29,'[4]Funder Arm Rev'!$N$231:$X$259,6,FALSE)</f>
        <v>0.42857405678425609</v>
      </c>
      <c r="L29" s="89">
        <f>VLOOKUP($A29,'[4]Funder Arm Rev'!$AA$231:$AK$259,6,FALSE)</f>
        <v>0.41378443088526595</v>
      </c>
      <c r="M29" s="89">
        <f>VLOOKUP($A29,'[4]Funder Arm Rev'!$AN$231:$AY$259,6,FALSE)</f>
        <v>0.40874430094216274</v>
      </c>
      <c r="O29" s="209"/>
      <c r="P29" s="89"/>
      <c r="Q29" s="89"/>
      <c r="R29" s="89"/>
      <c r="S29" s="89"/>
      <c r="T29" s="89"/>
      <c r="U29" s="89"/>
      <c r="V29" s="89"/>
      <c r="W29" s="89"/>
      <c r="X29" s="89"/>
    </row>
    <row r="30" spans="1:24">
      <c r="A30" s="209" t="s">
        <v>240</v>
      </c>
      <c r="B30" s="89">
        <f>VLOOKUP($A30,'[4]Funder Arm Rev'!A$19:L$42,6,FALSE)/(VLOOKUP($A30,'[4]Funder Arm Rev'!A$19:L$42,6,FALSE)+VLOOKUP($A30,'[4]Funder Arm Rev'!A$19:L$42,10,FALSE))</f>
        <v>0.46946002058589731</v>
      </c>
      <c r="C30" s="89">
        <f>VLOOKUP($A30,'[4]Funder Arm Rev'!$N$19:$Y$42,6,FALSE)/(VLOOKUP($A30,'[4]Funder Arm Rev'!$N$19:$Y$42,6,FALSE)+VLOOKUP($A30,'[4]Funder Arm Rev'!$N$19:$Y$42,10,FALSE))</f>
        <v>0.4832453337967233</v>
      </c>
      <c r="D30" s="89">
        <f>VLOOKUP($A30,'[4]Funder Arm Rev'!$AA$19:$AL$41,6,FALSE)/(VLOOKUP($A30,'[4]Funder Arm Rev'!$AA$19:$AL$41,6,FALSE)+VLOOKUP($A30,'[4]Funder Arm Rev'!$AA$19:$AL$41,10,FALSE))</f>
        <v>0.48123218873897539</v>
      </c>
      <c r="E30" s="89">
        <f>VLOOKUP($A30,'[4]Funder Arm Rev'!$AN$19:$AY$41,6,FALSE)/(VLOOKUP($A30,'[4]Funder Arm Rev'!$AN$19:$AY$41,6,FALSE)+VLOOKUP($A30,'[4]Funder Arm Rev'!$AN$19:$AY$41,10,FALSE))</f>
        <v>0.48252228209515541</v>
      </c>
      <c r="F30" s="89">
        <f>VLOOKUP($A30,'[4]Funder Arm Rev'!$A$99:$L$127,6,FALSE)/(VLOOKUP($A30,'[4]Funder Arm Rev'!$A$99:$L$127,6,FALSE)+VLOOKUP($A30,'[4]Funder Arm Rev'!$A$99:$L$127,10,FALSE))</f>
        <v>0.49166590403923677</v>
      </c>
      <c r="G30" s="89">
        <f>VLOOKUP($A30,'[4]Funder Arm Rev'!$N$132:$Y$160,6,FALSE)</f>
        <v>0.49777521306685291</v>
      </c>
      <c r="H30" s="89">
        <f>VLOOKUP($A30,'[4]Funder Arm Rev'!$AA$132:$AL$160,6,FALSE)</f>
        <v>0.50599925589508843</v>
      </c>
      <c r="I30" s="89">
        <f>VLOOKUP($A30,'[4]Funder Arm Rev'!$AN$132:$AY$160,6,FALSE)</f>
        <v>0.52794799843612661</v>
      </c>
      <c r="J30" s="89">
        <f>VLOOKUP($A30,'[4]Funder Arm Rev'!$A$231:$L$259,6,FALSE)</f>
        <v>0.52344226971337859</v>
      </c>
      <c r="K30" s="89">
        <f>VLOOKUP($A30,'[4]Funder Arm Rev'!$N$231:$X$259,6,FALSE)</f>
        <v>0.52358875286691053</v>
      </c>
      <c r="L30" s="89">
        <f>VLOOKUP($A30,'[4]Funder Arm Rev'!$AA$231:$AK$259,6,FALSE)</f>
        <v>0.52316367371775796</v>
      </c>
      <c r="M30" s="89">
        <f>VLOOKUP($A30,'[4]Funder Arm Rev'!$AN$231:$AY$259,6,FALSE)</f>
        <v>0.51276509978649476</v>
      </c>
      <c r="O30" s="209"/>
      <c r="P30" s="89"/>
      <c r="Q30" s="89"/>
      <c r="R30" s="89"/>
      <c r="S30" s="89"/>
      <c r="T30" s="89"/>
      <c r="U30" s="89"/>
      <c r="V30" s="89"/>
      <c r="W30" s="89"/>
      <c r="X30" s="89"/>
    </row>
    <row r="31" spans="1:24">
      <c r="A31" s="209" t="s">
        <v>241</v>
      </c>
      <c r="B31" s="89">
        <f>VLOOKUP($A31,'[4]Funder Arm Rev'!A$19:L$42,6,FALSE)/(VLOOKUP($A31,'[4]Funder Arm Rev'!A$19:L$42,6,FALSE)+VLOOKUP($A31,'[4]Funder Arm Rev'!A$19:L$42,10,FALSE))</f>
        <v>0.58612122136739098</v>
      </c>
      <c r="C31" s="89">
        <f>VLOOKUP($A31,'[4]Funder Arm Rev'!$N$19:$Y$42,6,FALSE)/(VLOOKUP($A31,'[4]Funder Arm Rev'!$N$19:$Y$42,6,FALSE)+VLOOKUP($A31,'[4]Funder Arm Rev'!$N$19:$Y$42,10,FALSE))</f>
        <v>0.58678550590507617</v>
      </c>
      <c r="D31" s="89">
        <f>VLOOKUP($A31,'[4]Funder Arm Rev'!$AA$19:$AL$41,6,FALSE)/(VLOOKUP($A31,'[4]Funder Arm Rev'!$AA$19:$AL$41,6,FALSE)+VLOOKUP($A31,'[4]Funder Arm Rev'!$AA$19:$AL$41,10,FALSE))</f>
        <v>0.58382997451084662</v>
      </c>
      <c r="E31" s="89">
        <f>VLOOKUP($A31,'[4]Funder Arm Rev'!$AN$19:$AY$41,6,FALSE)/(VLOOKUP($A31,'[4]Funder Arm Rev'!$AN$19:$AY$41,6,FALSE)+VLOOKUP($A31,'[4]Funder Arm Rev'!$AN$19:$AY$41,10,FALSE))</f>
        <v>0.58448775991541735</v>
      </c>
      <c r="F31" s="89">
        <f>VLOOKUP($A31,'[4]Funder Arm Rev'!$A$99:$L$127,6,FALSE)/(VLOOKUP($A31,'[4]Funder Arm Rev'!$A$99:$L$127,6,FALSE)+VLOOKUP($A31,'[4]Funder Arm Rev'!$A$99:$L$127,10,FALSE))</f>
        <v>0.57672324523884566</v>
      </c>
      <c r="G31" s="89">
        <f>VLOOKUP($A31,'[4]Funder Arm Rev'!$N$132:$Y$160,6,FALSE)</f>
        <v>0.5774931262755415</v>
      </c>
      <c r="H31" s="89">
        <f>VLOOKUP($A31,'[4]Funder Arm Rev'!$AA$132:$AL$160,6,FALSE)</f>
        <v>0.59029921444680122</v>
      </c>
      <c r="I31" s="89">
        <f>VLOOKUP($A31,'[4]Funder Arm Rev'!$AN$132:$AY$160,6,FALSE)</f>
        <v>0.58687351229833373</v>
      </c>
      <c r="J31" s="89">
        <f>VLOOKUP($A31,'[4]Funder Arm Rev'!$A$231:$L$259,6,FALSE)</f>
        <v>0.57672889231907132</v>
      </c>
      <c r="K31" s="89">
        <f>VLOOKUP($A31,'[4]Funder Arm Rev'!$N$231:$X$259,6,FALSE)</f>
        <v>0.57810553679298393</v>
      </c>
      <c r="L31" s="89">
        <f>VLOOKUP($A31,'[4]Funder Arm Rev'!$AA$231:$AK$259,6,FALSE)</f>
        <v>0.5654993057787967</v>
      </c>
      <c r="M31" s="89">
        <f>VLOOKUP($A31,'[4]Funder Arm Rev'!$AN$231:$AY$259,6,FALSE)</f>
        <v>0.54660228162260849</v>
      </c>
      <c r="O31" s="209"/>
      <c r="P31" s="89"/>
      <c r="Q31" s="89"/>
      <c r="R31" s="89"/>
      <c r="S31" s="89"/>
      <c r="T31" s="89"/>
      <c r="U31" s="89"/>
      <c r="V31" s="89"/>
      <c r="W31" s="89"/>
      <c r="X31" s="89"/>
    </row>
    <row r="32" spans="1:24">
      <c r="A32" s="210" t="s">
        <v>242</v>
      </c>
      <c r="B32" s="211">
        <f>VLOOKUP($A32,'[4]Funder Arm Rev'!A$19:L$42,6,FALSE)/(VLOOKUP($A32,'[4]Funder Arm Rev'!A$19:L$42,6,FALSE)+VLOOKUP($A32,'[4]Funder Arm Rev'!A$19:L$42,10,FALSE))</f>
        <v>0.49638518430510586</v>
      </c>
      <c r="C32" s="211">
        <f>VLOOKUP($A32,'[4]Funder Arm Rev'!$N$19:$Y$42,6,FALSE)/(VLOOKUP($A32,'[4]Funder Arm Rev'!$N$19:$Y$42,6,FALSE)+VLOOKUP($A32,'[4]Funder Arm Rev'!$N$19:$Y$42,10,FALSE))</f>
        <v>0.48466995180592409</v>
      </c>
      <c r="D32" s="211">
        <f>VLOOKUP($A32,'[4]Funder Arm Rev'!$AA$19:$AL$41,6,FALSE)/(VLOOKUP($A32,'[4]Funder Arm Rev'!$AA$19:$AL$41,6,FALSE)+VLOOKUP($A32,'[4]Funder Arm Rev'!$AA$19:$AL$41,10,FALSE))</f>
        <v>0.49433785966017002</v>
      </c>
      <c r="E32" s="211">
        <f>VLOOKUP($A32,'[4]Funder Arm Rev'!$AN$19:$AY$41,6,FALSE)/(VLOOKUP($A32,'[4]Funder Arm Rev'!$AN$19:$AY$41,6,FALSE)+VLOOKUP($A32,'[4]Funder Arm Rev'!$AN$19:$AY$41,10,FALSE))</f>
        <v>0.49344017834279774</v>
      </c>
      <c r="F32" s="211">
        <f>VLOOKUP($A32,'[4]Funder Arm Rev'!$A$99:$L$127,6,FALSE)/(VLOOKUP($A32,'[4]Funder Arm Rev'!$A$99:$L$127,6,FALSE)+VLOOKUP($A32,'[4]Funder Arm Rev'!$A$99:$L$127,10,FALSE))</f>
        <v>0.50201435723243115</v>
      </c>
      <c r="G32" s="211">
        <f>VLOOKUP($A32,'[4]Funder Arm Rev'!$N$132:$Y$160,6,FALSE)</f>
        <v>0.49943398021308982</v>
      </c>
      <c r="H32" s="211">
        <f>VLOOKUP($A32,'[4]Funder Arm Rev'!$AA$132:$AL$160,6,FALSE)</f>
        <v>0.5099020502411501</v>
      </c>
      <c r="I32" s="211">
        <f>VLOOKUP($A32,'[4]Funder Arm Rev'!$AN$132:$AY$160,6,FALSE)</f>
        <v>0.50410685534163324</v>
      </c>
      <c r="J32" s="211">
        <f>VLOOKUP($A32,'[4]Funder Arm Rev'!$A$231:$L$259,6,FALSE)</f>
        <v>0.5053956519454128</v>
      </c>
      <c r="K32" s="211">
        <f>VLOOKUP($A32,'[4]Funder Arm Rev'!$N$231:$X$259,6,FALSE)</f>
        <v>0.49613614770642606</v>
      </c>
      <c r="L32" s="211">
        <f>VLOOKUP($A32,'[4]Funder Arm Rev'!$AA$231:$AK$259,6,FALSE)</f>
        <v>0.49727531114255424</v>
      </c>
      <c r="M32" s="211">
        <f>VLOOKUP($A32,'[4]Funder Arm Rev'!$AN$231:$AY$259,6,FALSE)</f>
        <v>0.49221832123320675</v>
      </c>
      <c r="O32" s="209"/>
      <c r="P32" s="212"/>
      <c r="Q32" s="212"/>
      <c r="R32" s="212"/>
      <c r="S32" s="212"/>
      <c r="T32" s="212"/>
      <c r="U32" s="212"/>
      <c r="V32" s="212"/>
      <c r="W32" s="212"/>
      <c r="X32" s="212"/>
    </row>
    <row r="33" spans="1:39">
      <c r="A33" s="213" t="s">
        <v>243</v>
      </c>
      <c r="B33" s="108">
        <f>VLOOKUP($A33,'[4]Funder Arm Rev'!A$19:L$42,6,FALSE)/(VLOOKUP($A33,'[4]Funder Arm Rev'!A$19:L$42,6,FALSE)+VLOOKUP($A33,'[4]Funder Arm Rev'!A$19:L$42,10,FALSE))</f>
        <v>0.53429377144926271</v>
      </c>
      <c r="C33" s="108">
        <f>VLOOKUP($A33,'[4]Funder Arm Rev'!$N$19:$Y$42,6,FALSE)/(VLOOKUP($A33,'[4]Funder Arm Rev'!$N$19:$Y$42,6,FALSE)+VLOOKUP($A33,'[4]Funder Arm Rev'!$N$19:$Y$42,10,FALSE))</f>
        <v>0.53748785028966684</v>
      </c>
      <c r="D33" s="108">
        <f>VLOOKUP($A33,'[4]Funder Arm Rev'!$AA$19:$AL$41,6,FALSE)/(VLOOKUP($A33,'[4]Funder Arm Rev'!$AA$19:$AL$41,6,FALSE)+VLOOKUP($A33,'[4]Funder Arm Rev'!$AA$19:$AL$41,10,FALSE))</f>
        <v>0.5440310283566433</v>
      </c>
      <c r="E33" s="108">
        <f>VLOOKUP($A33,'[4]Funder Arm Rev'!$AN$19:$AY$41,6,FALSE)/(VLOOKUP($A33,'[4]Funder Arm Rev'!$AN$19:$AY$41,6,FALSE)+VLOOKUP($A33,'[4]Funder Arm Rev'!$AN$19:$AY$41,10,FALSE))</f>
        <v>0.54351895393791716</v>
      </c>
      <c r="F33" s="108">
        <f>VLOOKUP($A33,'[4]Funder Arm Rev'!$A$99:$L$127,6,FALSE)/(VLOOKUP($A33,'[4]Funder Arm Rev'!$A$99:$L$127,6,FALSE)+VLOOKUP($A33,'[4]Funder Arm Rev'!$A$99:$L$127,10,FALSE))</f>
        <v>0.55080035400094229</v>
      </c>
      <c r="G33" s="108">
        <f>VLOOKUP($A33,'[4]Funder Arm Rev'!$N$132:$Y$160,6,FALSE)</f>
        <v>0.54684069534147728</v>
      </c>
      <c r="H33" s="108">
        <f>VLOOKUP($A33,'[4]Funder Arm Rev'!$AA$132:$AL$160,6,FALSE)</f>
        <v>0.55259663414319937</v>
      </c>
      <c r="I33" s="108">
        <f>VLOOKUP($A33,'[4]Funder Arm Rev'!$AN$132:$AY$160,6,FALSE)</f>
        <v>0.5584905222329386</v>
      </c>
      <c r="J33" s="108">
        <f>VLOOKUP($A33,'[4]Funder Arm Rev'!$A$231:$L$259,6,FALSE)</f>
        <v>0.5655932351114118</v>
      </c>
      <c r="K33" s="89">
        <f>VLOOKUP($A33,'[4]Funder Arm Rev'!$N$231:$X$259,6,FALSE)</f>
        <v>0.5653760223106008</v>
      </c>
      <c r="L33" s="89">
        <f>VLOOKUP($A33,'[4]Funder Arm Rev'!$AA$231:$AK$259,6,FALSE)</f>
        <v>0.56499008514835358</v>
      </c>
      <c r="M33" s="89">
        <f>VLOOKUP($A33,'[4]Funder Arm Rev'!$AN$231:$AY$259,6,FALSE)</f>
        <v>0.56293382900406941</v>
      </c>
      <c r="O33" s="213"/>
      <c r="P33" s="108"/>
      <c r="Q33" s="108"/>
      <c r="R33" s="108"/>
      <c r="S33" s="108"/>
      <c r="T33" s="108"/>
      <c r="U33" s="108"/>
      <c r="V33" s="108"/>
      <c r="W33" s="108"/>
      <c r="X33" s="108"/>
    </row>
    <row r="34" spans="1:39">
      <c r="A34" s="213"/>
      <c r="B34" s="108"/>
      <c r="C34" s="108"/>
      <c r="D34" s="108"/>
      <c r="E34" s="108"/>
      <c r="F34" s="108"/>
      <c r="G34" s="108"/>
      <c r="H34" s="108"/>
      <c r="I34" s="108"/>
      <c r="J34" s="108"/>
      <c r="K34" s="89"/>
      <c r="L34" s="89"/>
      <c r="M34" s="89"/>
      <c r="O34" s="213"/>
      <c r="P34" s="108"/>
      <c r="Q34" s="108"/>
      <c r="R34" s="108"/>
      <c r="S34" s="108"/>
      <c r="T34" s="108"/>
      <c r="U34" s="108"/>
      <c r="V34" s="108"/>
      <c r="W34" s="108"/>
      <c r="X34" s="108"/>
    </row>
    <row r="35" spans="1:39">
      <c r="A35" s="204" t="s">
        <v>244</v>
      </c>
      <c r="AC35" s="119" t="s">
        <v>245</v>
      </c>
      <c r="AG35" s="119" t="s">
        <v>246</v>
      </c>
      <c r="AK35" s="119" t="s">
        <v>247</v>
      </c>
    </row>
    <row r="36" spans="1:39">
      <c r="A36" s="204" t="s">
        <v>248</v>
      </c>
      <c r="K36" s="9"/>
      <c r="L36" s="9"/>
      <c r="M36" s="9"/>
      <c r="O36" s="204" t="s">
        <v>249</v>
      </c>
      <c r="Y36" s="9"/>
      <c r="AC36" s="214" t="s">
        <v>250</v>
      </c>
      <c r="AD36" s="119" t="s">
        <v>251</v>
      </c>
      <c r="AE36" s="119" t="s">
        <v>252</v>
      </c>
      <c r="AF36" s="9"/>
      <c r="AG36" s="214" t="s">
        <v>250</v>
      </c>
      <c r="AH36" s="119" t="s">
        <v>251</v>
      </c>
      <c r="AI36" s="119" t="s">
        <v>252</v>
      </c>
      <c r="AK36" s="214" t="s">
        <v>250</v>
      </c>
      <c r="AL36" s="119" t="s">
        <v>251</v>
      </c>
      <c r="AM36" s="119" t="s">
        <v>252</v>
      </c>
    </row>
    <row r="37" spans="1:39">
      <c r="A37" s="209" t="s">
        <v>221</v>
      </c>
      <c r="B37" s="47">
        <f>-HLOOKUP($A37,'[4]Provider Arm'!$C$8:$Y$58,ROW('[4]Provider Arm'!$A$18)-ROW('[4]Provider Arm'!A$7),FALSE)</f>
        <v>610289.951</v>
      </c>
      <c r="C37" s="47">
        <f>-HLOOKUP($A37,'[4]Provider Arm'!$C$140:$Y$190,ROW('[4]Provider Arm'!$A$150)-ROW('[4]Provider Arm'!B$139),FALSE)</f>
        <v>654375.62100000004</v>
      </c>
      <c r="D37" s="47">
        <f>-HLOOKUP($A37,'[4]Provider Arm'!$C$268:$Y$318,ROW('[4]Provider Arm'!$A$278)-ROW('[4]Provider Arm'!C$267),FALSE)</f>
        <v>779807.18099999998</v>
      </c>
      <c r="E37" s="47">
        <f>-HLOOKUP($A37,'[4]Provider Arm'!$C$394:$Y$444,ROW('[4]Provider Arm'!$A$404)-ROW('[4]Provider Arm'!D$393),FALSE)</f>
        <v>714611.14399999997</v>
      </c>
      <c r="F37" s="47">
        <f>-HLOOKUP($A37,'[4]Provider Arm'!$C$516:$AE$546,ROW('[4]Provider Arm'!$A$524)-ROW('[4]Provider Arm'!E$515),FALSE)</f>
        <v>744358.11300000001</v>
      </c>
      <c r="G37" s="47">
        <f>-HLOOKUP($A37,'[4]Provider Arm'!$C$596:$AE$626,ROW('[4]Provider Arm'!$A$604)-ROW('[4]Provider Arm'!F$595),FALSE)</f>
        <v>763505.03975000023</v>
      </c>
      <c r="H37" s="47">
        <f>-HLOOKUP($A37,'[4]Provider Arm'!$C$676:$AE$706,ROW('[4]Provider Arm'!$A$684)-ROW('[4]Provider Arm'!G$675),FALSE)</f>
        <v>801788</v>
      </c>
      <c r="I37" s="47">
        <f>-HLOOKUP($A37,'[4]Provider Arm'!$C$757:$AF$787,ROW('[4]Provider Arm'!$A$765)-ROW('[4]Provider Arm'!H$756),FALSE)</f>
        <v>825625.51999999979</v>
      </c>
      <c r="J37" s="47">
        <f>-HLOOKUP($A37,'[4]Provider Arm'!$C$838:$AF$868,ROW('[4]Provider Arm'!$A$846)-ROW('[4]Provider Arm'!I$837),FALSE)</f>
        <v>863948.48499999987</v>
      </c>
      <c r="K37" s="47">
        <f>-HLOOKUP($A37,'[4]Provider Arm'!$C$919:$AF$949,ROW('[4]Provider Arm'!$A$927)-ROW('[4]Provider Arm'!$A$918),FALSE)</f>
        <v>909883.25799999991</v>
      </c>
      <c r="L37" s="47">
        <f>-HLOOKUP($A37,'[4]Provider Arm'!$C$1000:$AF$1030,ROW('[4]Provider Arm'!$A$1008)-ROW('[4]Provider Arm'!$A$999),FALSE)</f>
        <v>958483.14599999983</v>
      </c>
      <c r="M37" s="47">
        <f>-HLOOKUP($A37,'[4]Provider Arm'!$C$1081:$AF$1111,ROW('[4]Provider Arm'!$A$1089)-ROW('[4]Provider Arm'!$A$1080),FALSE)</f>
        <v>759950.72200000007</v>
      </c>
      <c r="O37" s="209" t="s">
        <v>221</v>
      </c>
      <c r="P37" s="89">
        <f t="shared" ref="P37:AA52" si="1">B37/B112</f>
        <v>0.59507835771667128</v>
      </c>
      <c r="Q37" s="89">
        <f t="shared" si="1"/>
        <v>0.59355841009997434</v>
      </c>
      <c r="R37" s="89">
        <f t="shared" si="1"/>
        <v>0.67860907535798842</v>
      </c>
      <c r="S37" s="89">
        <f t="shared" si="1"/>
        <v>0.59613186343634161</v>
      </c>
      <c r="T37" s="89">
        <f t="shared" si="1"/>
        <v>0.60279267223873567</v>
      </c>
      <c r="U37" s="89">
        <f t="shared" si="1"/>
        <v>0.60580163449597579</v>
      </c>
      <c r="V37" s="89">
        <f t="shared" si="1"/>
        <v>0.61591230378782125</v>
      </c>
      <c r="W37" s="89">
        <f t="shared" si="1"/>
        <v>0.61391342255989201</v>
      </c>
      <c r="X37" s="89">
        <f t="shared" si="1"/>
        <v>0.61654366235674551</v>
      </c>
      <c r="Y37" s="89">
        <f t="shared" si="1"/>
        <v>0.61533396539305552</v>
      </c>
      <c r="Z37" s="89">
        <f t="shared" si="1"/>
        <v>0.61318641595052048</v>
      </c>
      <c r="AA37" s="89">
        <f t="shared" si="1"/>
        <v>0.61338218470842409</v>
      </c>
      <c r="AB37" s="89"/>
      <c r="AC37" s="89">
        <f>-HLOOKUP($A37,'[4]Provider Arm'!$C$919:$AF$949,ROW('[4]Provider Arm'!$A$922)-ROW('[4]Provider Arm'!$A$918),FALSE)/$K112</f>
        <v>0.23591469716674363</v>
      </c>
      <c r="AD37" s="89">
        <f>-HLOOKUP($A37,'[4]Provider Arm'!$C$919:$AF$949,ROW('[4]Provider Arm'!$A$923)-ROW('[4]Provider Arm'!$A$918),FALSE)/$K112</f>
        <v>0.20596778969783078</v>
      </c>
      <c r="AE37" s="89">
        <f>Y37-SUM(AC37:AD37)</f>
        <v>0.17345147852848108</v>
      </c>
      <c r="AG37" s="89">
        <f>-HLOOKUP($A37,'[4]Provider Arm'!$C$1000:$AF$1030,ROW('[4]Provider Arm'!$A$1003)-ROW('[4]Provider Arm'!$A$999),FALSE)/$L112</f>
        <v>0.22395865565903852</v>
      </c>
      <c r="AH37" s="89">
        <f>-HLOOKUP($A37,'[4]Provider Arm'!$C$1000:$AF$1030,ROW('[4]Provider Arm'!$A$1004)-ROW('[4]Provider Arm'!$A$999),FALSE)/$L112</f>
        <v>0.20910802647892082</v>
      </c>
      <c r="AI37" s="89">
        <f>Z37-SUM(AG37:AH37)</f>
        <v>0.18011973381256113</v>
      </c>
      <c r="AK37" s="89">
        <f>-HLOOKUP($A37,'[4]Provider Arm'!$C$1081:$AF$1111,ROW('[4]Provider Arm'!$A$1084)-ROW('[4]Provider Arm'!$A$1080),FALSE)/$M112</f>
        <v>0.22806394580725647</v>
      </c>
      <c r="AL37" s="89">
        <f>-HLOOKUP($A37,'[4]Provider Arm'!$C$1081:$AF$1111,ROW('[4]Provider Arm'!$A$1085)-ROW('[4]Provider Arm'!$A$1080),FALSE)/$M112</f>
        <v>0.20603237394599069</v>
      </c>
      <c r="AM37" s="89">
        <f>AA37-SUM(AK37:AL37)</f>
        <v>0.17928586495517695</v>
      </c>
    </row>
    <row r="38" spans="1:39">
      <c r="A38" s="209" t="s">
        <v>222</v>
      </c>
      <c r="B38" s="47">
        <f>-HLOOKUP($A38,'[4]Provider Arm'!$C$8:$Y$58,ROW('[4]Provider Arm'!$A$18)-ROW('[4]Provider Arm'!A$7),FALSE)</f>
        <v>157285</v>
      </c>
      <c r="C38" s="47">
        <f>-HLOOKUP($A38,'[4]Provider Arm'!$C$140:$Y$190,ROW('[4]Provider Arm'!$A$150)-ROW('[4]Provider Arm'!B$139),FALSE)</f>
        <v>172932</v>
      </c>
      <c r="D38" s="47">
        <f>-HLOOKUP($A38,'[4]Provider Arm'!$C$268:$Y$318,ROW('[4]Provider Arm'!$A$278)-ROW('[4]Provider Arm'!C$267),FALSE)</f>
        <v>184793</v>
      </c>
      <c r="E38" s="47">
        <f>-HLOOKUP($A38,'[4]Provider Arm'!$C$394:$Y$444,ROW('[4]Provider Arm'!$A$404)-ROW('[4]Provider Arm'!D$393),FALSE)</f>
        <v>183779</v>
      </c>
      <c r="F38" s="47">
        <f>-HLOOKUP($A38,'[4]Provider Arm'!$C$516:$AE$546,ROW('[4]Provider Arm'!$A$524)-ROW('[4]Provider Arm'!E$515),FALSE)</f>
        <v>194345</v>
      </c>
      <c r="G38" s="47">
        <f>-HLOOKUP($A38,'[4]Provider Arm'!$C$596:$AE$626,ROW('[4]Provider Arm'!$A$604)-ROW('[4]Provider Arm'!F$595),FALSE)</f>
        <v>198783</v>
      </c>
      <c r="H38" s="47">
        <f>-HLOOKUP($A38,'[4]Provider Arm'!$C$676:$AE$706,ROW('[4]Provider Arm'!$A$684)-ROW('[4]Provider Arm'!G$675),FALSE)</f>
        <v>207822</v>
      </c>
      <c r="I38" s="47">
        <f>-HLOOKUP($A38,'[4]Provider Arm'!$C$757:$AF$787,ROW('[4]Provider Arm'!$A$765)-ROW('[4]Provider Arm'!H$756),FALSE)</f>
        <v>217150</v>
      </c>
      <c r="J38" s="47">
        <f>-HLOOKUP($A38,'[4]Provider Arm'!$C$838:$AF$868,ROW('[4]Provider Arm'!$A$846)-ROW('[4]Provider Arm'!I$837),FALSE)</f>
        <v>227152.93876999995</v>
      </c>
      <c r="K38" s="47">
        <f>-HLOOKUP($A38,'[4]Provider Arm'!$C$919:$AF$949,ROW('[4]Provider Arm'!$A$927)-ROW('[4]Provider Arm'!$A$918),FALSE)</f>
        <v>235258.57362999997</v>
      </c>
      <c r="L38" s="47">
        <f>-HLOOKUP($A38,'[4]Provider Arm'!$C$1000:$AF$1030,ROW('[4]Provider Arm'!$A$1008)-ROW('[4]Provider Arm'!$A$999),FALSE)</f>
        <v>251471.77772999994</v>
      </c>
      <c r="M38" s="47">
        <f>-HLOOKUP($A38,'[4]Provider Arm'!$C$1081:$AF$1111,ROW('[4]Provider Arm'!$A$1089)-ROW('[4]Provider Arm'!$A$1080),FALSE)</f>
        <v>200201.68041000003</v>
      </c>
      <c r="O38" s="209" t="s">
        <v>222</v>
      </c>
      <c r="P38" s="89">
        <f t="shared" si="1"/>
        <v>0.60670408301027989</v>
      </c>
      <c r="Q38" s="89">
        <f t="shared" si="1"/>
        <v>0.60081089250289232</v>
      </c>
      <c r="R38" s="89">
        <f t="shared" si="1"/>
        <v>0.61337798858834736</v>
      </c>
      <c r="S38" s="89">
        <f t="shared" si="1"/>
        <v>0.59713097442895668</v>
      </c>
      <c r="T38" s="89">
        <f t="shared" si="1"/>
        <v>0.59818891990803014</v>
      </c>
      <c r="U38" s="89">
        <f t="shared" si="1"/>
        <v>0.58759037782809442</v>
      </c>
      <c r="V38" s="89">
        <f t="shared" si="1"/>
        <v>0.6113166920619606</v>
      </c>
      <c r="W38" s="89">
        <f t="shared" si="1"/>
        <v>0.60130034834715096</v>
      </c>
      <c r="X38" s="89">
        <f t="shared" si="1"/>
        <v>0.59963631792115135</v>
      </c>
      <c r="Y38" s="89">
        <f t="shared" si="1"/>
        <v>0.59991811226730762</v>
      </c>
      <c r="Z38" s="89">
        <f t="shared" si="1"/>
        <v>0.59009236029496637</v>
      </c>
      <c r="AA38" s="89">
        <f t="shared" si="1"/>
        <v>0.59494287830733894</v>
      </c>
      <c r="AB38" s="89"/>
      <c r="AC38" s="89">
        <f>-HLOOKUP($A38,'[4]Provider Arm'!$C$919:$AF$949,ROW('[4]Provider Arm'!$A$922)-ROW('[4]Provider Arm'!$A$918),FALSE)/$K113</f>
        <v>0.18101715952480171</v>
      </c>
      <c r="AD38" s="89">
        <f>-HLOOKUP($A38,'[4]Provider Arm'!$C$919:$AF$949,ROW('[4]Provider Arm'!$A$923)-ROW('[4]Provider Arm'!$A$918),FALSE)/$K113</f>
        <v>0.24029015381629085</v>
      </c>
      <c r="AE38" s="89">
        <f t="shared" ref="AE38:AE59" si="2">Y38-SUM(AC38:AD38)</f>
        <v>0.17861079892621506</v>
      </c>
      <c r="AG38" s="89">
        <f>-HLOOKUP($A38,'[4]Provider Arm'!$C$1000:$AF$1030,ROW('[4]Provider Arm'!$A$1003)-ROW('[4]Provider Arm'!$A$999),FALSE)/$L113</f>
        <v>0.1790211305080068</v>
      </c>
      <c r="AH38" s="89">
        <f>-HLOOKUP($A38,'[4]Provider Arm'!$C$1000:$AF$1030,ROW('[4]Provider Arm'!$A$1004)-ROW('[4]Provider Arm'!$A$999),FALSE)/$L113</f>
        <v>0.2357459641583344</v>
      </c>
      <c r="AI38" s="89">
        <f t="shared" ref="AI38:AI59" si="3">Z38-SUM(AG38:AH38)</f>
        <v>0.17532526562862516</v>
      </c>
      <c r="AK38" s="89">
        <f>-HLOOKUP($A38,'[4]Provider Arm'!$C$1081:$AF$1111,ROW('[4]Provider Arm'!$A$1084)-ROW('[4]Provider Arm'!$A$1080),FALSE)/$M113</f>
        <v>0.18080176333655071</v>
      </c>
      <c r="AL38" s="89">
        <f>-HLOOKUP($A38,'[4]Provider Arm'!$C$1081:$AF$1111,ROW('[4]Provider Arm'!$A$1085)-ROW('[4]Provider Arm'!$A$1080),FALSE)/$M113</f>
        <v>0.23576051670370257</v>
      </c>
      <c r="AM38" s="89">
        <f t="shared" ref="AM38:AM59" si="4">AA38-SUM(AK38:AL38)</f>
        <v>0.17838059826708563</v>
      </c>
    </row>
    <row r="39" spans="1:39">
      <c r="A39" s="209" t="s">
        <v>223</v>
      </c>
      <c r="B39" s="47">
        <f>-HLOOKUP($A39,'[4]Provider Arm'!$C$8:$Y$58,ROW('[4]Provider Arm'!$A$18)-ROW('[4]Provider Arm'!A$7),FALSE)</f>
        <v>453026</v>
      </c>
      <c r="C39" s="47">
        <f>-HLOOKUP($A39,'[4]Provider Arm'!$C$140:$Y$190,ROW('[4]Provider Arm'!$A$150)-ROW('[4]Provider Arm'!B$139),FALSE)</f>
        <v>492973</v>
      </c>
      <c r="D39" s="47">
        <f>-HLOOKUP($A39,'[4]Provider Arm'!$C$268:$Y$318,ROW('[4]Provider Arm'!$A$278)-ROW('[4]Provider Arm'!C$267),FALSE)</f>
        <v>525372</v>
      </c>
      <c r="E39" s="47">
        <f>-HLOOKUP($A39,'[4]Provider Arm'!$C$394:$Y$444,ROW('[4]Provider Arm'!$A$404)-ROW('[4]Provider Arm'!D$393),FALSE)</f>
        <v>547514</v>
      </c>
      <c r="F39" s="47">
        <f>-HLOOKUP($A39,'[4]Provider Arm'!$C$516:$AE$546,ROW('[4]Provider Arm'!$A$524)-ROW('[4]Provider Arm'!E$515),FALSE)</f>
        <v>565419</v>
      </c>
      <c r="G39" s="47">
        <f>-HLOOKUP($A39,'[4]Provider Arm'!$C$596:$AE$626,ROW('[4]Provider Arm'!$A$604)-ROW('[4]Provider Arm'!F$595),FALSE)</f>
        <v>593585</v>
      </c>
      <c r="H39" s="47">
        <f>-HLOOKUP($A39,'[4]Provider Arm'!$C$676:$AE$706,ROW('[4]Provider Arm'!$A$684)-ROW('[4]Provider Arm'!G$675),FALSE)</f>
        <v>614793</v>
      </c>
      <c r="I39" s="47">
        <f>-HLOOKUP($A39,'[4]Provider Arm'!$C$757:$AF$787,ROW('[4]Provider Arm'!$A$765)-ROW('[4]Provider Arm'!H$756),FALSE)</f>
        <v>637642</v>
      </c>
      <c r="J39" s="47">
        <f>-HLOOKUP($A39,'[4]Provider Arm'!$C$838:$AF$868,ROW('[4]Provider Arm'!$A$846)-ROW('[4]Provider Arm'!I$837),FALSE)</f>
        <v>668015</v>
      </c>
      <c r="K39" s="47">
        <f>-HLOOKUP($A39,'[4]Provider Arm'!$C$919:$AF$949,ROW('[4]Provider Arm'!$A$927)-ROW('[4]Provider Arm'!$A$918),FALSE)</f>
        <v>695918</v>
      </c>
      <c r="L39" s="47">
        <f>-HLOOKUP($A39,'[4]Provider Arm'!$C$1000:$AF$1030,ROW('[4]Provider Arm'!$A$1008)-ROW('[4]Provider Arm'!$A$999),FALSE)</f>
        <v>745996</v>
      </c>
      <c r="M39" s="47">
        <f>-HLOOKUP($A39,'[4]Provider Arm'!$C$1081:$AF$1111,ROW('[4]Provider Arm'!$A$1089)-ROW('[4]Provider Arm'!$A$1080),FALSE)</f>
        <v>602863</v>
      </c>
      <c r="O39" s="209" t="s">
        <v>223</v>
      </c>
      <c r="P39" s="89">
        <f t="shared" si="1"/>
        <v>0.63535602438617333</v>
      </c>
      <c r="Q39" s="89">
        <f t="shared" si="1"/>
        <v>0.64435608570797442</v>
      </c>
      <c r="R39" s="89">
        <f t="shared" si="1"/>
        <v>0.65585009768367963</v>
      </c>
      <c r="S39" s="89">
        <f t="shared" si="1"/>
        <v>0.65605030668818698</v>
      </c>
      <c r="T39" s="89">
        <f t="shared" si="1"/>
        <v>0.63557504456969172</v>
      </c>
      <c r="U39" s="89">
        <f t="shared" si="1"/>
        <v>0.64544312812957028</v>
      </c>
      <c r="V39" s="89">
        <f t="shared" si="1"/>
        <v>0.64714916389649702</v>
      </c>
      <c r="W39" s="89">
        <f t="shared" si="1"/>
        <v>0.64381778345876117</v>
      </c>
      <c r="X39" s="89">
        <f t="shared" si="1"/>
        <v>0.65997779046768457</v>
      </c>
      <c r="Y39" s="89">
        <f t="shared" si="1"/>
        <v>0.6558952705886788</v>
      </c>
      <c r="Z39" s="89">
        <f t="shared" si="1"/>
        <v>0.66886574644831276</v>
      </c>
      <c r="AA39" s="89">
        <f t="shared" si="1"/>
        <v>0.68655939632817942</v>
      </c>
      <c r="AB39" s="89"/>
      <c r="AC39" s="89">
        <f>-HLOOKUP($A39,'[4]Provider Arm'!$C$919:$AF$949,ROW('[4]Provider Arm'!$A$922)-ROW('[4]Provider Arm'!$A$918),FALSE)/$K114</f>
        <v>0.18988237733501726</v>
      </c>
      <c r="AD39" s="89">
        <f>-HLOOKUP($A39,'[4]Provider Arm'!$C$919:$AF$949,ROW('[4]Provider Arm'!$A$923)-ROW('[4]Provider Arm'!$A$918),FALSE)/$K114</f>
        <v>0.26474713012007312</v>
      </c>
      <c r="AE39" s="89">
        <f t="shared" si="2"/>
        <v>0.20126576313358846</v>
      </c>
      <c r="AG39" s="89">
        <f>-HLOOKUP($A39,'[4]Provider Arm'!$C$1000:$AF$1030,ROW('[4]Provider Arm'!$A$1003)-ROW('[4]Provider Arm'!$A$999),FALSE)/$L114</f>
        <v>0.19039464187247548</v>
      </c>
      <c r="AH39" s="89">
        <f>-HLOOKUP($A39,'[4]Provider Arm'!$C$1000:$AF$1030,ROW('[4]Provider Arm'!$A$1004)-ROW('[4]Provider Arm'!$A$999),FALSE)/$L114</f>
        <v>0.27066613467944034</v>
      </c>
      <c r="AI39" s="89">
        <f t="shared" si="3"/>
        <v>0.20780496989639696</v>
      </c>
      <c r="AK39" s="89">
        <f>-HLOOKUP($A39,'[4]Provider Arm'!$C$1081:$AF$1111,ROW('[4]Provider Arm'!$A$1084)-ROW('[4]Provider Arm'!$A$1080),FALSE)/$M114</f>
        <v>0.19887984530112415</v>
      </c>
      <c r="AL39" s="89">
        <f>-HLOOKUP($A39,'[4]Provider Arm'!$C$1081:$AF$1111,ROW('[4]Provider Arm'!$A$1085)-ROW('[4]Provider Arm'!$A$1080),FALSE)/$M114</f>
        <v>0.2735644174364219</v>
      </c>
      <c r="AM39" s="89">
        <f t="shared" si="4"/>
        <v>0.21411513359063339</v>
      </c>
    </row>
    <row r="40" spans="1:39">
      <c r="A40" s="209" t="s">
        <v>224</v>
      </c>
      <c r="B40" s="47">
        <f>-HLOOKUP($A40,'[4]Provider Arm'!$C$8:$Y$58,ROW('[4]Provider Arm'!$A$18)-ROW('[4]Provider Arm'!A$7),FALSE)</f>
        <v>285181.12060000002</v>
      </c>
      <c r="C40" s="47">
        <f>-HLOOKUP($A40,'[4]Provider Arm'!$C$140:$Y$190,ROW('[4]Provider Arm'!$A$150)-ROW('[4]Provider Arm'!B$139),FALSE)</f>
        <v>318719.66610000003</v>
      </c>
      <c r="D40" s="47">
        <f>-HLOOKUP($A40,'[4]Provider Arm'!$C$268:$Y$318,ROW('[4]Provider Arm'!$A$278)-ROW('[4]Provider Arm'!C$267),FALSE)</f>
        <v>346935.86189999996</v>
      </c>
      <c r="E40" s="47">
        <f>-HLOOKUP($A40,'[4]Provider Arm'!$C$394:$Y$444,ROW('[4]Provider Arm'!$A$404)-ROW('[4]Provider Arm'!D$393),FALSE)</f>
        <v>347446.88959999999</v>
      </c>
      <c r="F40" s="47">
        <f>-HLOOKUP($A40,'[4]Provider Arm'!$C$516:$AE$546,ROW('[4]Provider Arm'!$A$524)-ROW('[4]Provider Arm'!E$515),FALSE)</f>
        <v>366035.05317999999</v>
      </c>
      <c r="G40" s="47">
        <f>-HLOOKUP($A40,'[4]Provider Arm'!$C$596:$AE$626,ROW('[4]Provider Arm'!$A$604)-ROW('[4]Provider Arm'!F$595),FALSE)</f>
        <v>387122.30041999999</v>
      </c>
      <c r="H40" s="47">
        <f>-HLOOKUP($A40,'[4]Provider Arm'!$C$676:$AE$706,ROW('[4]Provider Arm'!$A$684)-ROW('[4]Provider Arm'!G$675),FALSE)</f>
        <v>403811.22645000002</v>
      </c>
      <c r="I40" s="47">
        <f>-HLOOKUP($A40,'[4]Provider Arm'!$C$757:$AF$787,ROW('[4]Provider Arm'!$A$765)-ROW('[4]Provider Arm'!H$756),FALSE)</f>
        <v>407498.91238999995</v>
      </c>
      <c r="J40" s="47">
        <f>-HLOOKUP($A40,'[4]Provider Arm'!$C$838:$AF$868,ROW('[4]Provider Arm'!$A$846)-ROW('[4]Provider Arm'!I$837),FALSE)</f>
        <v>428330.55333000002</v>
      </c>
      <c r="K40" s="47">
        <f>-HLOOKUP($A40,'[4]Provider Arm'!$C$919:$AF$949,ROW('[4]Provider Arm'!$A$927)-ROW('[4]Provider Arm'!$A$918),FALSE)</f>
        <v>446899.00439999998</v>
      </c>
      <c r="L40" s="47">
        <f>-HLOOKUP($A40,'[4]Provider Arm'!$C$1000:$AF$1030,ROW('[4]Provider Arm'!$A$1008)-ROW('[4]Provider Arm'!$A$999),FALSE)</f>
        <v>464254.32491999998</v>
      </c>
      <c r="M40" s="47">
        <f>-HLOOKUP($A40,'[4]Provider Arm'!$C$1081:$AF$1111,ROW('[4]Provider Arm'!$A$1089)-ROW('[4]Provider Arm'!$A$1080),FALSE)</f>
        <v>370706.36295000004</v>
      </c>
      <c r="O40" s="209" t="s">
        <v>224</v>
      </c>
      <c r="P40" s="89">
        <f t="shared" si="1"/>
        <v>0.59639413188884516</v>
      </c>
      <c r="Q40" s="89">
        <f t="shared" si="1"/>
        <v>0.60858171321544408</v>
      </c>
      <c r="R40" s="89">
        <f t="shared" si="1"/>
        <v>0.60098162815307055</v>
      </c>
      <c r="S40" s="89">
        <f t="shared" si="1"/>
        <v>0.60357548347592083</v>
      </c>
      <c r="T40" s="89">
        <f t="shared" si="1"/>
        <v>0.59771021274797775</v>
      </c>
      <c r="U40" s="89">
        <f t="shared" si="1"/>
        <v>0.61954307456892777</v>
      </c>
      <c r="V40" s="89">
        <f t="shared" si="1"/>
        <v>0.62118440767016125</v>
      </c>
      <c r="W40" s="89">
        <f t="shared" si="1"/>
        <v>0.6138296012268315</v>
      </c>
      <c r="X40" s="89">
        <f t="shared" si="1"/>
        <v>0.6242400865194504</v>
      </c>
      <c r="Y40" s="89">
        <f t="shared" si="1"/>
        <v>0.63985862517341785</v>
      </c>
      <c r="Z40" s="89">
        <f t="shared" si="1"/>
        <v>0.62997559604788578</v>
      </c>
      <c r="AA40" s="89">
        <f t="shared" si="1"/>
        <v>0.64179601351795257</v>
      </c>
      <c r="AB40" s="89"/>
      <c r="AC40" s="89">
        <f>-HLOOKUP($A40,'[4]Provider Arm'!$C$919:$AF$949,ROW('[4]Provider Arm'!$A$922)-ROW('[4]Provider Arm'!$A$918),FALSE)/$K115</f>
        <v>0.21212402899187727</v>
      </c>
      <c r="AD40" s="89">
        <f>-HLOOKUP($A40,'[4]Provider Arm'!$C$919:$AF$949,ROW('[4]Provider Arm'!$A$923)-ROW('[4]Provider Arm'!$A$918),FALSE)/$K115</f>
        <v>0.25991696808360348</v>
      </c>
      <c r="AE40" s="89">
        <f t="shared" si="2"/>
        <v>0.1678176280979371</v>
      </c>
      <c r="AG40" s="89">
        <f>-HLOOKUP($A40,'[4]Provider Arm'!$C$1000:$AF$1030,ROW('[4]Provider Arm'!$A$1003)-ROW('[4]Provider Arm'!$A$999),FALSE)/$L115</f>
        <v>0.20406165775796581</v>
      </c>
      <c r="AH40" s="89">
        <f>-HLOOKUP($A40,'[4]Provider Arm'!$C$1000:$AF$1030,ROW('[4]Provider Arm'!$A$1004)-ROW('[4]Provider Arm'!$A$999),FALSE)/$L115</f>
        <v>0.26206818489456979</v>
      </c>
      <c r="AI40" s="89">
        <f t="shared" si="3"/>
        <v>0.16384575339535018</v>
      </c>
      <c r="AK40" s="89">
        <f>-HLOOKUP($A40,'[4]Provider Arm'!$C$1081:$AF$1111,ROW('[4]Provider Arm'!$A$1084)-ROW('[4]Provider Arm'!$A$1080),FALSE)/$M115</f>
        <v>0.21478362554911792</v>
      </c>
      <c r="AL40" s="89">
        <f>-HLOOKUP($A40,'[4]Provider Arm'!$C$1081:$AF$1111,ROW('[4]Provider Arm'!$A$1085)-ROW('[4]Provider Arm'!$A$1080),FALSE)/$M115</f>
        <v>0.2644272956711915</v>
      </c>
      <c r="AM40" s="89">
        <f t="shared" si="4"/>
        <v>0.16258509229764317</v>
      </c>
    </row>
    <row r="41" spans="1:39">
      <c r="A41" s="209" t="s">
        <v>225</v>
      </c>
      <c r="B41" s="47">
        <f>-HLOOKUP($A41,'[4]Provider Arm'!$C$8:$Y$58,ROW('[4]Provider Arm'!$A$18)-ROW('[4]Provider Arm'!A$7),FALSE)</f>
        <v>339110</v>
      </c>
      <c r="C41" s="47">
        <f>-HLOOKUP($A41,'[4]Provider Arm'!$C$140:$Y$190,ROW('[4]Provider Arm'!$A$150)-ROW('[4]Provider Arm'!B$139),FALSE)</f>
        <v>386917</v>
      </c>
      <c r="D41" s="47">
        <f>-HLOOKUP($A41,'[4]Provider Arm'!$C$268:$Y$318,ROW('[4]Provider Arm'!$A$278)-ROW('[4]Provider Arm'!C$267),FALSE)</f>
        <v>421174</v>
      </c>
      <c r="E41" s="47">
        <f>-HLOOKUP($A41,'[4]Provider Arm'!$C$394:$Y$444,ROW('[4]Provider Arm'!$A$404)-ROW('[4]Provider Arm'!D$393),FALSE)</f>
        <v>446676</v>
      </c>
      <c r="F41" s="47">
        <f>-HLOOKUP($A41,'[4]Provider Arm'!$C$516:$AE$546,ROW('[4]Provider Arm'!$A$524)-ROW('[4]Provider Arm'!E$515),FALSE)</f>
        <v>476110</v>
      </c>
      <c r="G41" s="47">
        <f>-HLOOKUP($A41,'[4]Provider Arm'!$C$596:$AE$626,ROW('[4]Provider Arm'!$A$604)-ROW('[4]Provider Arm'!F$595),FALSE)</f>
        <v>503484</v>
      </c>
      <c r="H41" s="47">
        <f>-HLOOKUP($A41,'[4]Provider Arm'!$C$676:$AE$706,ROW('[4]Provider Arm'!$A$684)-ROW('[4]Provider Arm'!G$675),FALSE)</f>
        <v>516889</v>
      </c>
      <c r="I41" s="47">
        <f>-HLOOKUP($A41,'[4]Provider Arm'!$C$757:$AF$787,ROW('[4]Provider Arm'!$A$765)-ROW('[4]Provider Arm'!H$756),FALSE)</f>
        <v>539450</v>
      </c>
      <c r="J41" s="47">
        <f>-HLOOKUP($A41,'[4]Provider Arm'!$C$838:$AF$868,ROW('[4]Provider Arm'!$A$846)-ROW('[4]Provider Arm'!I$837),FALSE)</f>
        <v>554003</v>
      </c>
      <c r="K41" s="47">
        <f>-HLOOKUP($A41,'[4]Provider Arm'!$C$919:$AF$949,ROW('[4]Provider Arm'!$A$927)-ROW('[4]Provider Arm'!$A$918),FALSE)</f>
        <v>580568</v>
      </c>
      <c r="L41" s="47">
        <f>-HLOOKUP($A41,'[4]Provider Arm'!$C$1000:$AF$1030,ROW('[4]Provider Arm'!$A$1008)-ROW('[4]Provider Arm'!$A$999),FALSE)</f>
        <v>614925</v>
      </c>
      <c r="M41" s="47">
        <f>-HLOOKUP($A41,'[4]Provider Arm'!$C$1081:$AF$1111,ROW('[4]Provider Arm'!$A$1089)-ROW('[4]Provider Arm'!$A$1080),FALSE)</f>
        <v>486119</v>
      </c>
      <c r="O41" s="209" t="s">
        <v>225</v>
      </c>
      <c r="P41" s="89">
        <f t="shared" si="1"/>
        <v>0.60540330168047574</v>
      </c>
      <c r="Q41" s="89">
        <f t="shared" si="1"/>
        <v>0.62514359575069678</v>
      </c>
      <c r="R41" s="89">
        <f t="shared" si="1"/>
        <v>0.64203255787719837</v>
      </c>
      <c r="S41" s="89">
        <f t="shared" si="1"/>
        <v>0.57290098169234838</v>
      </c>
      <c r="T41" s="89">
        <f t="shared" si="1"/>
        <v>0.64599770696661529</v>
      </c>
      <c r="U41" s="89">
        <f t="shared" si="1"/>
        <v>0.65875869432101863</v>
      </c>
      <c r="V41" s="89">
        <f t="shared" si="1"/>
        <v>0.64764698290822109</v>
      </c>
      <c r="W41" s="89">
        <f t="shared" si="1"/>
        <v>0.64614076274434651</v>
      </c>
      <c r="X41" s="89">
        <f t="shared" si="1"/>
        <v>0.64437835272661292</v>
      </c>
      <c r="Y41" s="89">
        <f t="shared" si="1"/>
        <v>0.64675496260846221</v>
      </c>
      <c r="Z41" s="89">
        <f t="shared" si="1"/>
        <v>0.63953826985358508</v>
      </c>
      <c r="AA41" s="89">
        <f t="shared" si="1"/>
        <v>0.63689413244417081</v>
      </c>
      <c r="AB41" s="89"/>
      <c r="AC41" s="89">
        <f>-HLOOKUP($A41,'[4]Provider Arm'!$C$919:$AF$949,ROW('[4]Provider Arm'!$A$922)-ROW('[4]Provider Arm'!$A$918),FALSE)/$K116</f>
        <v>0.20879216365161535</v>
      </c>
      <c r="AD41" s="89">
        <f>-HLOOKUP($A41,'[4]Provider Arm'!$C$919:$AF$949,ROW('[4]Provider Arm'!$A$923)-ROW('[4]Provider Arm'!$A$918),FALSE)/$K116</f>
        <v>0.24623940164627484</v>
      </c>
      <c r="AE41" s="89">
        <f t="shared" si="2"/>
        <v>0.19172339731057203</v>
      </c>
      <c r="AG41" s="89">
        <f>-HLOOKUP($A41,'[4]Provider Arm'!$C$1000:$AF$1030,ROW('[4]Provider Arm'!$A$1003)-ROW('[4]Provider Arm'!$A$999),FALSE)/$L116</f>
        <v>0.20205426026038104</v>
      </c>
      <c r="AH41" s="89">
        <f>-HLOOKUP($A41,'[4]Provider Arm'!$C$1000:$AF$1030,ROW('[4]Provider Arm'!$A$1004)-ROW('[4]Provider Arm'!$A$999),FALSE)/$L116</f>
        <v>0.25101974594233678</v>
      </c>
      <c r="AI41" s="89">
        <f t="shared" si="3"/>
        <v>0.18646426365086727</v>
      </c>
      <c r="AK41" s="89">
        <f>-HLOOKUP($A41,'[4]Provider Arm'!$C$1081:$AF$1111,ROW('[4]Provider Arm'!$A$1084)-ROW('[4]Provider Arm'!$A$1080),FALSE)/$M116</f>
        <v>0.20214473348050807</v>
      </c>
      <c r="AL41" s="89">
        <f>-HLOOKUP($A41,'[4]Provider Arm'!$C$1081:$AF$1111,ROW('[4]Provider Arm'!$A$1085)-ROW('[4]Provider Arm'!$A$1080),FALSE)/$M116</f>
        <v>0.25283879124550451</v>
      </c>
      <c r="AM41" s="89">
        <f t="shared" si="4"/>
        <v>0.18191060771815826</v>
      </c>
    </row>
    <row r="42" spans="1:39">
      <c r="A42" s="209" t="s">
        <v>226</v>
      </c>
      <c r="B42" s="47">
        <f>-HLOOKUP($A42,'[4]Provider Arm'!$C$8:$Y$58,ROW('[4]Provider Arm'!$A$18)-ROW('[4]Provider Arm'!A$7),FALSE)</f>
        <v>137763.78809999998</v>
      </c>
      <c r="C42" s="47">
        <f>-HLOOKUP($A42,'[4]Provider Arm'!$C$140:$Y$190,ROW('[4]Provider Arm'!$A$150)-ROW('[4]Provider Arm'!B$139),FALSE)</f>
        <v>146065.4491</v>
      </c>
      <c r="D42" s="47">
        <f>-HLOOKUP($A42,'[4]Provider Arm'!$C$268:$Y$318,ROW('[4]Provider Arm'!$A$278)-ROW('[4]Provider Arm'!C$267),FALSE)</f>
        <v>152476.644</v>
      </c>
      <c r="E42" s="47">
        <f>-HLOOKUP($A42,'[4]Provider Arm'!$C$394:$Y$444,ROW('[4]Provider Arm'!$A$404)-ROW('[4]Provider Arm'!D$393),FALSE)</f>
        <v>153021.89110000001</v>
      </c>
      <c r="F42" s="47">
        <f>-HLOOKUP($A42,'[4]Provider Arm'!$C$516:$AE$546,ROW('[4]Provider Arm'!$A$524)-ROW('[4]Provider Arm'!E$515),FALSE)</f>
        <v>159889.44020999997</v>
      </c>
      <c r="G42" s="47">
        <f>-HLOOKUP($A42,'[4]Provider Arm'!$C$596:$AE$626,ROW('[4]Provider Arm'!$A$604)-ROW('[4]Provider Arm'!F$595),FALSE)</f>
        <v>163036.88284000006</v>
      </c>
      <c r="H42" s="47">
        <f>-HLOOKUP($A42,'[4]Provider Arm'!$C$676:$AE$706,ROW('[4]Provider Arm'!$A$684)-ROW('[4]Provider Arm'!G$675),FALSE)</f>
        <v>169920.27637000007</v>
      </c>
      <c r="I42" s="47">
        <f>-HLOOKUP($A42,'[4]Provider Arm'!$C$757:$AF$787,ROW('[4]Provider Arm'!$A$765)-ROW('[4]Provider Arm'!H$756),FALSE)</f>
        <v>178421.99124999999</v>
      </c>
      <c r="J42" s="47">
        <f>-HLOOKUP($A42,'[4]Provider Arm'!$C$838:$AF$868,ROW('[4]Provider Arm'!$A$846)-ROW('[4]Provider Arm'!I$837),FALSE)</f>
        <v>186575.24304000015</v>
      </c>
      <c r="K42" s="47">
        <f>-HLOOKUP($A42,'[4]Provider Arm'!$C$919:$AF$949,ROW('[4]Provider Arm'!$A$927)-ROW('[4]Provider Arm'!$A$918),FALSE)</f>
        <v>195002.05907999998</v>
      </c>
      <c r="L42" s="47">
        <f>-HLOOKUP($A42,'[4]Provider Arm'!$C$1000:$AF$1030,ROW('[4]Provider Arm'!$A$1008)-ROW('[4]Provider Arm'!$A$999),FALSE)</f>
        <v>208993.93787999998</v>
      </c>
      <c r="M42" s="47">
        <f>-HLOOKUP($A42,'[4]Provider Arm'!$C$1081:$AF$1111,ROW('[4]Provider Arm'!$A$1089)-ROW('[4]Provider Arm'!$A$1080),FALSE)</f>
        <v>167637.05421999999</v>
      </c>
      <c r="O42" s="209" t="s">
        <v>226</v>
      </c>
      <c r="P42" s="89">
        <f t="shared" si="1"/>
        <v>0.63031275957779365</v>
      </c>
      <c r="Q42" s="89">
        <f t="shared" si="1"/>
        <v>0.61817390018305252</v>
      </c>
      <c r="R42" s="89">
        <f t="shared" si="1"/>
        <v>0.63666007627284593</v>
      </c>
      <c r="S42" s="89">
        <f t="shared" si="1"/>
        <v>0.63231569688124234</v>
      </c>
      <c r="T42" s="89">
        <f t="shared" si="1"/>
        <v>0.63104210016558859</v>
      </c>
      <c r="U42" s="89">
        <f t="shared" si="1"/>
        <v>0.62989241063056256</v>
      </c>
      <c r="V42" s="89">
        <f t="shared" si="1"/>
        <v>0.62395210587352379</v>
      </c>
      <c r="W42" s="89">
        <f t="shared" si="1"/>
        <v>0.63590615874524814</v>
      </c>
      <c r="X42" s="89">
        <f t="shared" si="1"/>
        <v>0.64301100533729882</v>
      </c>
      <c r="Y42" s="89">
        <f t="shared" si="1"/>
        <v>0.63941986181002874</v>
      </c>
      <c r="Z42" s="89">
        <f t="shared" si="1"/>
        <v>0.64019841774946773</v>
      </c>
      <c r="AA42" s="89">
        <f t="shared" si="1"/>
        <v>0.64397244258046338</v>
      </c>
      <c r="AB42" s="89"/>
      <c r="AC42" s="89">
        <f>-HLOOKUP($A42,'[4]Provider Arm'!$C$919:$AF$949,ROW('[4]Provider Arm'!$A$922)-ROW('[4]Provider Arm'!$A$918),FALSE)/$K117</f>
        <v>0.17637275876435507</v>
      </c>
      <c r="AD42" s="89">
        <f>-HLOOKUP($A42,'[4]Provider Arm'!$C$919:$AF$949,ROW('[4]Provider Arm'!$A$923)-ROW('[4]Provider Arm'!$A$918),FALSE)/$K117</f>
        <v>0.24515269170557066</v>
      </c>
      <c r="AE42" s="89">
        <f t="shared" si="2"/>
        <v>0.21789441134010301</v>
      </c>
      <c r="AG42" s="89">
        <f>-HLOOKUP($A42,'[4]Provider Arm'!$C$1000:$AF$1030,ROW('[4]Provider Arm'!$A$1003)-ROW('[4]Provider Arm'!$A$999),FALSE)/$L117</f>
        <v>0.17583553887825137</v>
      </c>
      <c r="AH42" s="89">
        <f>-HLOOKUP($A42,'[4]Provider Arm'!$C$1000:$AF$1030,ROW('[4]Provider Arm'!$A$1004)-ROW('[4]Provider Arm'!$A$999),FALSE)/$L117</f>
        <v>0.24715801107081112</v>
      </c>
      <c r="AI42" s="89">
        <f t="shared" si="3"/>
        <v>0.21720486780040527</v>
      </c>
      <c r="AK42" s="89">
        <f>-HLOOKUP($A42,'[4]Provider Arm'!$C$1081:$AF$1111,ROW('[4]Provider Arm'!$A$1084)-ROW('[4]Provider Arm'!$A$1080),FALSE)/$M117</f>
        <v>0.17803268247961423</v>
      </c>
      <c r="AL42" s="89">
        <f>-HLOOKUP($A42,'[4]Provider Arm'!$C$1081:$AF$1111,ROW('[4]Provider Arm'!$A$1085)-ROW('[4]Provider Arm'!$A$1080),FALSE)/$M117</f>
        <v>0.25086717847826495</v>
      </c>
      <c r="AM42" s="89">
        <f t="shared" si="4"/>
        <v>0.21507258162258419</v>
      </c>
    </row>
    <row r="43" spans="1:39">
      <c r="A43" s="209" t="s">
        <v>227</v>
      </c>
      <c r="B43" s="47">
        <f>-HLOOKUP($A43,'[4]Provider Arm'!$C$8:$Y$58,ROW('[4]Provider Arm'!$A$18)-ROW('[4]Provider Arm'!A$7),FALSE)</f>
        <v>120266</v>
      </c>
      <c r="C43" s="47">
        <f>-HLOOKUP($A43,'[4]Provider Arm'!$C$140:$Y$190,ROW('[4]Provider Arm'!$A$150)-ROW('[4]Provider Arm'!B$139),FALSE)</f>
        <v>134819</v>
      </c>
      <c r="D43" s="47">
        <f>-HLOOKUP($A43,'[4]Provider Arm'!$C$268:$Y$318,ROW('[4]Provider Arm'!$A$278)-ROW('[4]Provider Arm'!C$267),FALSE)</f>
        <v>144204</v>
      </c>
      <c r="E43" s="47">
        <f>-HLOOKUP($A43,'[4]Provider Arm'!$C$394:$Y$444,ROW('[4]Provider Arm'!$A$404)-ROW('[4]Provider Arm'!D$393),FALSE)</f>
        <v>148098</v>
      </c>
      <c r="F43" s="47">
        <f>-HLOOKUP($A43,'[4]Provider Arm'!$C$516:$AE$546,ROW('[4]Provider Arm'!$A$524)-ROW('[4]Provider Arm'!E$515),FALSE)</f>
        <v>151633</v>
      </c>
      <c r="G43" s="47">
        <f>-HLOOKUP($A43,'[4]Provider Arm'!$C$596:$AE$626,ROW('[4]Provider Arm'!$A$604)-ROW('[4]Provider Arm'!F$595),FALSE)</f>
        <v>153214</v>
      </c>
      <c r="H43" s="47">
        <f>-HLOOKUP($A43,'[4]Provider Arm'!$C$676:$AE$706,ROW('[4]Provider Arm'!$A$684)-ROW('[4]Provider Arm'!G$675),FALSE)</f>
        <v>156510</v>
      </c>
      <c r="I43" s="47">
        <f>-HLOOKUP($A43,'[4]Provider Arm'!$C$757:$AF$787,ROW('[4]Provider Arm'!$A$765)-ROW('[4]Provider Arm'!H$756),FALSE)</f>
        <v>164695</v>
      </c>
      <c r="J43" s="47">
        <f>-HLOOKUP($A43,'[4]Provider Arm'!$C$838:$AF$868,ROW('[4]Provider Arm'!$A$846)-ROW('[4]Provider Arm'!I$837),FALSE)</f>
        <v>165706</v>
      </c>
      <c r="K43" s="47">
        <f>-HLOOKUP($A43,'[4]Provider Arm'!$C$919:$AF$949,ROW('[4]Provider Arm'!$A$927)-ROW('[4]Provider Arm'!$A$918),FALSE)</f>
        <v>168318</v>
      </c>
      <c r="L43" s="47">
        <f>-HLOOKUP($A43,'[4]Provider Arm'!$C$1000:$AF$1030,ROW('[4]Provider Arm'!$A$1008)-ROW('[4]Provider Arm'!$A$999),FALSE)</f>
        <v>173964</v>
      </c>
      <c r="M43" s="47">
        <f>-HLOOKUP($A43,'[4]Provider Arm'!$C$1081:$AF$1111,ROW('[4]Provider Arm'!$A$1089)-ROW('[4]Provider Arm'!$A$1080),FALSE)</f>
        <v>139035.68132</v>
      </c>
      <c r="O43" s="209" t="s">
        <v>227</v>
      </c>
      <c r="P43" s="89">
        <f t="shared" si="1"/>
        <v>0.67702856370821562</v>
      </c>
      <c r="Q43" s="89">
        <f t="shared" si="1"/>
        <v>0.68418675463080436</v>
      </c>
      <c r="R43" s="89">
        <f t="shared" si="1"/>
        <v>0.69182498560736905</v>
      </c>
      <c r="S43" s="89">
        <f t="shared" si="1"/>
        <v>0.69330699261742135</v>
      </c>
      <c r="T43" s="89">
        <f t="shared" si="1"/>
        <v>0.69343936927213856</v>
      </c>
      <c r="U43" s="89">
        <f t="shared" si="1"/>
        <v>0.68285095421038089</v>
      </c>
      <c r="V43" s="89">
        <f t="shared" si="1"/>
        <v>0.67816953588435891</v>
      </c>
      <c r="W43" s="89">
        <f t="shared" si="1"/>
        <v>0.67792179994319612</v>
      </c>
      <c r="X43" s="89">
        <f t="shared" si="1"/>
        <v>0.66596736596736594</v>
      </c>
      <c r="Y43" s="89">
        <f t="shared" si="1"/>
        <v>0.68277624533506409</v>
      </c>
      <c r="Z43" s="89">
        <f t="shared" si="1"/>
        <v>0.67230904790613555</v>
      </c>
      <c r="AA43" s="89">
        <f t="shared" si="1"/>
        <v>0.68680242897292276</v>
      </c>
      <c r="AB43" s="89"/>
      <c r="AC43" s="89">
        <f>-HLOOKUP($A43,'[4]Provider Arm'!$C$919:$AF$949,ROW('[4]Provider Arm'!$A$922)-ROW('[4]Provider Arm'!$A$918),FALSE)/$K118</f>
        <v>0.20653902320298556</v>
      </c>
      <c r="AD43" s="89">
        <f>-HLOOKUP($A43,'[4]Provider Arm'!$C$919:$AF$949,ROW('[4]Provider Arm'!$A$923)-ROW('[4]Provider Arm'!$A$918),FALSE)/$K118</f>
        <v>0.24917653740061657</v>
      </c>
      <c r="AE43" s="89">
        <f t="shared" si="2"/>
        <v>0.22706068473146196</v>
      </c>
      <c r="AG43" s="89">
        <f>-HLOOKUP($A43,'[4]Provider Arm'!$C$1000:$AF$1030,ROW('[4]Provider Arm'!$A$1003)-ROW('[4]Provider Arm'!$A$999),FALSE)/$L118</f>
        <v>0.20048230765663405</v>
      </c>
      <c r="AH43" s="89">
        <f>-HLOOKUP($A43,'[4]Provider Arm'!$C$1000:$AF$1030,ROW('[4]Provider Arm'!$A$1004)-ROW('[4]Provider Arm'!$A$999),FALSE)/$L118</f>
        <v>0.24307069208057011</v>
      </c>
      <c r="AI43" s="89">
        <f t="shared" si="3"/>
        <v>0.22875604816893136</v>
      </c>
      <c r="AK43" s="89">
        <f>-HLOOKUP($A43,'[4]Provider Arm'!$C$1081:$AF$1111,ROW('[4]Provider Arm'!$A$1084)-ROW('[4]Provider Arm'!$A$1080),FALSE)/$M118</f>
        <v>0.20330079829659747</v>
      </c>
      <c r="AL43" s="89">
        <f>-HLOOKUP($A43,'[4]Provider Arm'!$C$1081:$AF$1111,ROW('[4]Provider Arm'!$A$1085)-ROW('[4]Provider Arm'!$A$1080),FALSE)/$M118</f>
        <v>0.25348477871978986</v>
      </c>
      <c r="AM43" s="89">
        <f t="shared" si="4"/>
        <v>0.23001685195653543</v>
      </c>
    </row>
    <row r="44" spans="1:39">
      <c r="A44" s="209" t="s">
        <v>228</v>
      </c>
      <c r="B44" s="47">
        <f>-HLOOKUP($A44,'[4]Provider Arm'!$C$8:$Y$58,ROW('[4]Provider Arm'!$A$18)-ROW('[4]Provider Arm'!A$7),FALSE)</f>
        <v>74869</v>
      </c>
      <c r="C44" s="47">
        <f>-HLOOKUP($A44,'[4]Provider Arm'!$C$140:$Y$190,ROW('[4]Provider Arm'!$A$150)-ROW('[4]Provider Arm'!B$139),FALSE)</f>
        <v>81768</v>
      </c>
      <c r="D44" s="47">
        <f>-HLOOKUP($A44,'[4]Provider Arm'!$C$268:$Y$318,ROW('[4]Provider Arm'!$A$278)-ROW('[4]Provider Arm'!C$267),FALSE)</f>
        <v>85719.8128</v>
      </c>
      <c r="E44" s="47">
        <f>-HLOOKUP($A44,'[4]Provider Arm'!$C$394:$Y$444,ROW('[4]Provider Arm'!$A$404)-ROW('[4]Provider Arm'!D$393),FALSE)</f>
        <v>89545.881099999999</v>
      </c>
      <c r="F44" s="47">
        <f>-HLOOKUP($A44,'[4]Provider Arm'!$C$516:$AE$546,ROW('[4]Provider Arm'!$A$524)-ROW('[4]Provider Arm'!E$515),FALSE)</f>
        <v>92303</v>
      </c>
      <c r="G44" s="47">
        <f>-HLOOKUP($A44,'[4]Provider Arm'!$C$596:$AE$626,ROW('[4]Provider Arm'!$A$604)-ROW('[4]Provider Arm'!F$595),FALSE)</f>
        <v>93054</v>
      </c>
      <c r="H44" s="47">
        <f>-HLOOKUP($A44,'[4]Provider Arm'!$C$676:$AE$706,ROW('[4]Provider Arm'!$A$684)-ROW('[4]Provider Arm'!G$675),FALSE)</f>
        <v>96784</v>
      </c>
      <c r="I44" s="47">
        <f>-HLOOKUP($A44,'[4]Provider Arm'!$C$757:$AF$787,ROW('[4]Provider Arm'!$A$765)-ROW('[4]Provider Arm'!H$756),FALSE)</f>
        <v>101615</v>
      </c>
      <c r="J44" s="47">
        <f>-HLOOKUP($A44,'[4]Provider Arm'!$C$838:$AF$868,ROW('[4]Provider Arm'!$A$846)-ROW('[4]Provider Arm'!I$837),FALSE)</f>
        <v>106591</v>
      </c>
      <c r="K44" s="47">
        <f>-HLOOKUP($A44,'[4]Provider Arm'!$C$919:$AF$949,ROW('[4]Provider Arm'!$A$927)-ROW('[4]Provider Arm'!$A$918),FALSE)</f>
        <v>109794</v>
      </c>
      <c r="L44" s="47">
        <f>-HLOOKUP($A44,'[4]Provider Arm'!$C$1000:$AF$1030,ROW('[4]Provider Arm'!$A$1008)-ROW('[4]Provider Arm'!$A$999),FALSE)</f>
        <v>119178</v>
      </c>
      <c r="M44" s="47">
        <f>-HLOOKUP($A44,'[4]Provider Arm'!$C$1081:$AF$1111,ROW('[4]Provider Arm'!$A$1089)-ROW('[4]Provider Arm'!$A$1080),FALSE)</f>
        <v>96519</v>
      </c>
      <c r="O44" s="209" t="s">
        <v>228</v>
      </c>
      <c r="P44" s="89">
        <f t="shared" si="1"/>
        <v>0.6103782814283385</v>
      </c>
      <c r="Q44" s="89">
        <f t="shared" si="1"/>
        <v>0.6193935445751555</v>
      </c>
      <c r="R44" s="89">
        <f t="shared" si="1"/>
        <v>0.61021926221888345</v>
      </c>
      <c r="S44" s="89">
        <f t="shared" si="1"/>
        <v>0.61780116705573063</v>
      </c>
      <c r="T44" s="89">
        <f t="shared" si="1"/>
        <v>0.60131072356892046</v>
      </c>
      <c r="U44" s="89">
        <f t="shared" si="1"/>
        <v>0.59607205083529768</v>
      </c>
      <c r="V44" s="89">
        <f t="shared" si="1"/>
        <v>0.60567223209592225</v>
      </c>
      <c r="W44" s="89">
        <f t="shared" si="1"/>
        <v>0.5974014521296922</v>
      </c>
      <c r="X44" s="89">
        <f t="shared" si="1"/>
        <v>0.61221899302723626</v>
      </c>
      <c r="Y44" s="89">
        <f t="shared" si="1"/>
        <v>0.6120101003907491</v>
      </c>
      <c r="Z44" s="89">
        <f t="shared" si="1"/>
        <v>0.59983088894033798</v>
      </c>
      <c r="AA44" s="89">
        <f t="shared" si="1"/>
        <v>0.6178402253232621</v>
      </c>
      <c r="AB44" s="89"/>
      <c r="AC44" s="89">
        <f>-HLOOKUP($A44,'[4]Provider Arm'!$C$919:$AF$949,ROW('[4]Provider Arm'!$A$922)-ROW('[4]Provider Arm'!$A$918),FALSE)/$K119</f>
        <v>0.18822847396027848</v>
      </c>
      <c r="AD44" s="89">
        <f>-HLOOKUP($A44,'[4]Provider Arm'!$C$919:$AF$949,ROW('[4]Provider Arm'!$A$923)-ROW('[4]Provider Arm'!$A$918),FALSE)/$K119</f>
        <v>0.23940490192253022</v>
      </c>
      <c r="AE44" s="89">
        <f t="shared" si="2"/>
        <v>0.1843767245079404</v>
      </c>
      <c r="AG44" s="89">
        <f>-HLOOKUP($A44,'[4]Provider Arm'!$C$1000:$AF$1030,ROW('[4]Provider Arm'!$A$1003)-ROW('[4]Provider Arm'!$A$999),FALSE)/$L119</f>
        <v>0.18953021350271282</v>
      </c>
      <c r="AH44" s="89">
        <f>-HLOOKUP($A44,'[4]Provider Arm'!$C$1000:$AF$1030,ROW('[4]Provider Arm'!$A$1004)-ROW('[4]Provider Arm'!$A$999),FALSE)/$L119</f>
        <v>0.23551734898281712</v>
      </c>
      <c r="AI44" s="89">
        <f t="shared" si="3"/>
        <v>0.17478332645480804</v>
      </c>
      <c r="AK44" s="89">
        <f>-HLOOKUP($A44,'[4]Provider Arm'!$C$1081:$AF$1111,ROW('[4]Provider Arm'!$A$1084)-ROW('[4]Provider Arm'!$A$1080),FALSE)/$M119</f>
        <v>0.20128024580719497</v>
      </c>
      <c r="AL44" s="89">
        <f>-HLOOKUP($A44,'[4]Provider Arm'!$C$1081:$AF$1111,ROW('[4]Provider Arm'!$A$1085)-ROW('[4]Provider Arm'!$A$1080),FALSE)/$M119</f>
        <v>0.24192164895659968</v>
      </c>
      <c r="AM44" s="89">
        <f t="shared" si="4"/>
        <v>0.17463833055946743</v>
      </c>
    </row>
    <row r="45" spans="1:39">
      <c r="A45" s="209" t="s">
        <v>229</v>
      </c>
      <c r="B45" s="47">
        <f>-HLOOKUP($A45,'[4]Provider Arm'!$C$8:$Y$58,ROW('[4]Provider Arm'!$A$18)-ROW('[4]Provider Arm'!A$7),FALSE)</f>
        <v>139178</v>
      </c>
      <c r="C45" s="47">
        <f>-HLOOKUP($A45,'[4]Provider Arm'!$C$140:$Y$190,ROW('[4]Provider Arm'!$A$150)-ROW('[4]Provider Arm'!B$139),FALSE)</f>
        <v>151479</v>
      </c>
      <c r="D45" s="47">
        <f>-HLOOKUP($A45,'[4]Provider Arm'!$C$268:$Y$318,ROW('[4]Provider Arm'!$A$278)-ROW('[4]Provider Arm'!C$267),FALSE)</f>
        <v>162716</v>
      </c>
      <c r="E45" s="47">
        <f>-HLOOKUP($A45,'[4]Provider Arm'!$C$394:$Y$444,ROW('[4]Provider Arm'!$A$404)-ROW('[4]Provider Arm'!D$393),FALSE)</f>
        <v>162082</v>
      </c>
      <c r="F45" s="47">
        <f>-HLOOKUP($A45,'[4]Provider Arm'!$C$516:$AE$546,ROW('[4]Provider Arm'!$A$524)-ROW('[4]Provider Arm'!E$515),FALSE)</f>
        <v>169104</v>
      </c>
      <c r="G45" s="47">
        <f>-HLOOKUP($A45,'[4]Provider Arm'!$C$596:$AE$626,ROW('[4]Provider Arm'!$A$604)-ROW('[4]Provider Arm'!F$595),FALSE)</f>
        <v>176846</v>
      </c>
      <c r="H45" s="47">
        <f>-HLOOKUP($A45,'[4]Provider Arm'!$C$676:$AE$706,ROW('[4]Provider Arm'!$A$684)-ROW('[4]Provider Arm'!G$675),FALSE)</f>
        <v>183965</v>
      </c>
      <c r="I45" s="47">
        <f>-HLOOKUP($A45,'[4]Provider Arm'!$C$757:$AF$787,ROW('[4]Provider Arm'!$A$765)-ROW('[4]Provider Arm'!H$756),FALSE)</f>
        <v>188706</v>
      </c>
      <c r="J45" s="47">
        <f>-HLOOKUP($A45,'[4]Provider Arm'!$C$838:$AF$868,ROW('[4]Provider Arm'!$A$846)-ROW('[4]Provider Arm'!I$837),FALSE)</f>
        <v>193467</v>
      </c>
      <c r="K45" s="47">
        <f>-HLOOKUP($A45,'[4]Provider Arm'!$C$919:$AF$949,ROW('[4]Provider Arm'!$A$927)-ROW('[4]Provider Arm'!$A$918),FALSE)</f>
        <v>197932</v>
      </c>
      <c r="L45" s="47">
        <f>-HLOOKUP($A45,'[4]Provider Arm'!$C$1000:$AF$1030,ROW('[4]Provider Arm'!$A$1008)-ROW('[4]Provider Arm'!$A$999),FALSE)</f>
        <v>207467.21444000004</v>
      </c>
      <c r="M45" s="47">
        <f>-HLOOKUP($A45,'[4]Provider Arm'!$C$1081:$AF$1111,ROW('[4]Provider Arm'!$A$1089)-ROW('[4]Provider Arm'!$A$1080),FALSE)</f>
        <v>161296.72878999999</v>
      </c>
      <c r="O45" s="209" t="s">
        <v>229</v>
      </c>
      <c r="P45" s="89">
        <f t="shared" si="1"/>
        <v>0.5206068721992384</v>
      </c>
      <c r="Q45" s="89">
        <f t="shared" si="1"/>
        <v>0.52585189402355037</v>
      </c>
      <c r="R45" s="89">
        <f t="shared" si="1"/>
        <v>0.53842030376228456</v>
      </c>
      <c r="S45" s="89">
        <f t="shared" si="1"/>
        <v>0.53750339914971512</v>
      </c>
      <c r="T45" s="89">
        <f t="shared" si="1"/>
        <v>0.5288102519841642</v>
      </c>
      <c r="U45" s="89">
        <f t="shared" si="1"/>
        <v>0.52448854907496933</v>
      </c>
      <c r="V45" s="89">
        <f t="shared" si="1"/>
        <v>0.5247147746719909</v>
      </c>
      <c r="W45" s="89">
        <f t="shared" si="1"/>
        <v>0.53130279072910336</v>
      </c>
      <c r="X45" s="89">
        <f t="shared" si="1"/>
        <v>0.54448665991219181</v>
      </c>
      <c r="Y45" s="89">
        <f t="shared" si="1"/>
        <v>0.54194389227492024</v>
      </c>
      <c r="Z45" s="89">
        <f t="shared" si="1"/>
        <v>0.54525101408907672</v>
      </c>
      <c r="AA45" s="89">
        <f t="shared" si="1"/>
        <v>0.54211001080201127</v>
      </c>
      <c r="AB45" s="89"/>
      <c r="AC45" s="89">
        <f>-HLOOKUP($A45,'[4]Provider Arm'!$C$919:$AF$949,ROW('[4]Provider Arm'!$A$922)-ROW('[4]Provider Arm'!$A$918),FALSE)/$K120</f>
        <v>0.17610739651612975</v>
      </c>
      <c r="AD45" s="89">
        <f>-HLOOKUP($A45,'[4]Provider Arm'!$C$919:$AF$949,ROW('[4]Provider Arm'!$A$923)-ROW('[4]Provider Arm'!$A$918),FALSE)/$K120</f>
        <v>0.22175584432652659</v>
      </c>
      <c r="AE45" s="89">
        <f t="shared" si="2"/>
        <v>0.1440806514322639</v>
      </c>
      <c r="AG45" s="89">
        <f>-HLOOKUP($A45,'[4]Provider Arm'!$C$1000:$AF$1030,ROW('[4]Provider Arm'!$A$1003)-ROW('[4]Provider Arm'!$A$999),FALSE)/$L120</f>
        <v>0.18170598774993688</v>
      </c>
      <c r="AH45" s="89">
        <f>-HLOOKUP($A45,'[4]Provider Arm'!$C$1000:$AF$1030,ROW('[4]Provider Arm'!$A$1004)-ROW('[4]Provider Arm'!$A$999),FALSE)/$L120</f>
        <v>0.21968311030258877</v>
      </c>
      <c r="AI45" s="89">
        <f t="shared" si="3"/>
        <v>0.14386191603655107</v>
      </c>
      <c r="AK45" s="89">
        <f>-HLOOKUP($A45,'[4]Provider Arm'!$C$1081:$AF$1111,ROW('[4]Provider Arm'!$A$1084)-ROW('[4]Provider Arm'!$A$1080),FALSE)/$M120</f>
        <v>0.17617863392338159</v>
      </c>
      <c r="AL45" s="89">
        <f>-HLOOKUP($A45,'[4]Provider Arm'!$C$1081:$AF$1111,ROW('[4]Provider Arm'!$A$1085)-ROW('[4]Provider Arm'!$A$1080),FALSE)/$M120</f>
        <v>0.21898815458310439</v>
      </c>
      <c r="AM45" s="89">
        <f t="shared" si="4"/>
        <v>0.14694322229552526</v>
      </c>
    </row>
    <row r="46" spans="1:39">
      <c r="A46" s="209" t="s">
        <v>230</v>
      </c>
      <c r="B46" s="47">
        <f>-HLOOKUP($A46,'[4]Provider Arm'!$C$8:$Y$58,ROW('[4]Provider Arm'!$A$18)-ROW('[4]Provider Arm'!A$7),FALSE)</f>
        <v>122299.01</v>
      </c>
      <c r="C46" s="47">
        <f>-HLOOKUP($A46,'[4]Provider Arm'!$C$140:$Y$190,ROW('[4]Provider Arm'!$A$150)-ROW('[4]Provider Arm'!B$139),FALSE)</f>
        <v>138016</v>
      </c>
      <c r="D46" s="47">
        <f>-HLOOKUP($A46,'[4]Provider Arm'!$C$268:$Y$318,ROW('[4]Provider Arm'!$A$278)-ROW('[4]Provider Arm'!C$267),FALSE)</f>
        <v>140306.33790000001</v>
      </c>
      <c r="E46" s="47">
        <f>-HLOOKUP($A46,'[4]Provider Arm'!$C$394:$Y$444,ROW('[4]Provider Arm'!$A$404)-ROW('[4]Provider Arm'!D$393),FALSE)</f>
        <v>142441.53599999999</v>
      </c>
      <c r="F46" s="47">
        <f>-HLOOKUP($A46,'[4]Provider Arm'!$C$516:$AE$546,ROW('[4]Provider Arm'!$A$524)-ROW('[4]Provider Arm'!E$515),FALSE)</f>
        <v>151309.12595999998</v>
      </c>
      <c r="G46" s="47">
        <f>-HLOOKUP($A46,'[4]Provider Arm'!$C$596:$AE$626,ROW('[4]Provider Arm'!$A$604)-ROW('[4]Provider Arm'!F$595),FALSE)</f>
        <v>152395.42982999998</v>
      </c>
      <c r="H46" s="47">
        <f>-HLOOKUP($A46,'[4]Provider Arm'!$C$676:$AE$706,ROW('[4]Provider Arm'!$A$684)-ROW('[4]Provider Arm'!G$675),FALSE)</f>
        <v>155269.58397000004</v>
      </c>
      <c r="I46" s="47">
        <f>-HLOOKUP($A46,'[4]Provider Arm'!$C$757:$AF$787,ROW('[4]Provider Arm'!$A$765)-ROW('[4]Provider Arm'!H$756),FALSE)</f>
        <v>158867.47652999996</v>
      </c>
      <c r="J46" s="47">
        <f>-HLOOKUP($A46,'[4]Provider Arm'!$C$838:$AF$868,ROW('[4]Provider Arm'!$A$846)-ROW('[4]Provider Arm'!I$837),FALSE)</f>
        <v>166701.35100999995</v>
      </c>
      <c r="K46" s="47">
        <f>-HLOOKUP($A46,'[4]Provider Arm'!$C$919:$AF$949,ROW('[4]Provider Arm'!$A$927)-ROW('[4]Provider Arm'!$A$918),FALSE)</f>
        <v>170524.64502999993</v>
      </c>
      <c r="L46" s="47">
        <f>-HLOOKUP($A46,'[4]Provider Arm'!$C$1000:$AF$1030,ROW('[4]Provider Arm'!$A$1008)-ROW('[4]Provider Arm'!$A$999),FALSE)</f>
        <v>183391.24995999999</v>
      </c>
      <c r="M46" s="47">
        <f>-HLOOKUP($A46,'[4]Provider Arm'!$C$1081:$AF$1111,ROW('[4]Provider Arm'!$A$1089)-ROW('[4]Provider Arm'!$A$1080),FALSE)</f>
        <v>145030.14741000001</v>
      </c>
      <c r="O46" s="209" t="s">
        <v>230</v>
      </c>
      <c r="P46" s="89">
        <f t="shared" si="1"/>
        <v>0.6139323306560881</v>
      </c>
      <c r="Q46" s="89">
        <f t="shared" si="1"/>
        <v>0.6244248492279294</v>
      </c>
      <c r="R46" s="89">
        <f t="shared" si="1"/>
        <v>0.63418047269581268</v>
      </c>
      <c r="S46" s="89">
        <f t="shared" si="1"/>
        <v>0.62997543318671934</v>
      </c>
      <c r="T46" s="89">
        <f t="shared" si="1"/>
        <v>0.64257252956444955</v>
      </c>
      <c r="U46" s="89">
        <f t="shared" si="1"/>
        <v>0.64133107932292355</v>
      </c>
      <c r="V46" s="89">
        <f t="shared" si="1"/>
        <v>0.63953703758088198</v>
      </c>
      <c r="W46" s="89">
        <f t="shared" si="1"/>
        <v>0.63389471927538266</v>
      </c>
      <c r="X46" s="89">
        <f t="shared" si="1"/>
        <v>0.63874045488114906</v>
      </c>
      <c r="Y46" s="89">
        <f t="shared" si="1"/>
        <v>0.64641617472073232</v>
      </c>
      <c r="Z46" s="89">
        <f t="shared" si="1"/>
        <v>0.63042252125917631</v>
      </c>
      <c r="AA46" s="89">
        <f t="shared" si="1"/>
        <v>0.63010666092485801</v>
      </c>
      <c r="AB46" s="89"/>
      <c r="AC46" s="89">
        <f>-HLOOKUP($A46,'[4]Provider Arm'!$C$919:$AF$949,ROW('[4]Provider Arm'!$A$922)-ROW('[4]Provider Arm'!$A$918),FALSE)/$K121</f>
        <v>0.18406923174682827</v>
      </c>
      <c r="AD46" s="89">
        <f>-HLOOKUP($A46,'[4]Provider Arm'!$C$919:$AF$949,ROW('[4]Provider Arm'!$A$923)-ROW('[4]Provider Arm'!$A$918),FALSE)/$K121</f>
        <v>0.21519410673025796</v>
      </c>
      <c r="AE46" s="89">
        <f t="shared" si="2"/>
        <v>0.24715283624364609</v>
      </c>
      <c r="AG46" s="89">
        <f>-HLOOKUP($A46,'[4]Provider Arm'!$C$1000:$AF$1030,ROW('[4]Provider Arm'!$A$1003)-ROW('[4]Provider Arm'!$A$999),FALSE)/$L121</f>
        <v>0.17891745142278714</v>
      </c>
      <c r="AH46" s="89">
        <f>-HLOOKUP($A46,'[4]Provider Arm'!$C$1000:$AF$1030,ROW('[4]Provider Arm'!$A$1004)-ROW('[4]Provider Arm'!$A$999),FALSE)/$L121</f>
        <v>0.20672446015294502</v>
      </c>
      <c r="AI46" s="89">
        <f t="shared" si="3"/>
        <v>0.24478060968344417</v>
      </c>
      <c r="AK46" s="89">
        <f>-HLOOKUP($A46,'[4]Provider Arm'!$C$1081:$AF$1111,ROW('[4]Provider Arm'!$A$1084)-ROW('[4]Provider Arm'!$A$1080),FALSE)/$M121</f>
        <v>0.17500177043043094</v>
      </c>
      <c r="AL46" s="89">
        <f>-HLOOKUP($A46,'[4]Provider Arm'!$C$1081:$AF$1111,ROW('[4]Provider Arm'!$A$1085)-ROW('[4]Provider Arm'!$A$1080),FALSE)/$M121</f>
        <v>0.20661326341358899</v>
      </c>
      <c r="AM46" s="89">
        <f t="shared" si="4"/>
        <v>0.24849162708083805</v>
      </c>
    </row>
    <row r="47" spans="1:39">
      <c r="A47" s="209" t="s">
        <v>231</v>
      </c>
      <c r="B47" s="47">
        <f>-HLOOKUP($A47,'[4]Provider Arm'!$C$8:$Y$58,ROW('[4]Provider Arm'!$A$18)-ROW('[4]Provider Arm'!A$7),FALSE)</f>
        <v>133397.84239999999</v>
      </c>
      <c r="C47" s="47">
        <f>-HLOOKUP($A47,'[4]Provider Arm'!$C$140:$Y$190,ROW('[4]Provider Arm'!$A$150)-ROW('[4]Provider Arm'!B$139),FALSE)</f>
        <v>143920.99650000001</v>
      </c>
      <c r="D47" s="47">
        <f>-HLOOKUP($A47,'[4]Provider Arm'!$C$268:$Y$318,ROW('[4]Provider Arm'!$A$278)-ROW('[4]Provider Arm'!C$267),FALSE)</f>
        <v>161546.90250000003</v>
      </c>
      <c r="E47" s="47">
        <f>-HLOOKUP($A47,'[4]Provider Arm'!$C$394:$Y$444,ROW('[4]Provider Arm'!$A$404)-ROW('[4]Provider Arm'!D$393),FALSE)</f>
        <v>164467.86920000002</v>
      </c>
      <c r="F47" s="47">
        <f>-HLOOKUP($A47,'[4]Provider Arm'!$C$516:$AE$546,ROW('[4]Provider Arm'!$A$524)-ROW('[4]Provider Arm'!E$515),FALSE)</f>
        <v>173761.61757000003</v>
      </c>
      <c r="G47" s="47">
        <f>-HLOOKUP($A47,'[4]Provider Arm'!$C$596:$AE$626,ROW('[4]Provider Arm'!$A$604)-ROW('[4]Provider Arm'!F$595),FALSE)</f>
        <v>177681.1808</v>
      </c>
      <c r="H47" s="47">
        <f>-HLOOKUP($A47,'[4]Provider Arm'!$C$676:$AE$706,ROW('[4]Provider Arm'!$A$684)-ROW('[4]Provider Arm'!G$675),FALSE)</f>
        <v>186371.46703900004</v>
      </c>
      <c r="I47" s="47">
        <f>-HLOOKUP($A47,'[4]Provider Arm'!$C$757:$AF$787,ROW('[4]Provider Arm'!$A$765)-ROW('[4]Provider Arm'!H$756),FALSE)</f>
        <v>196698.48299000002</v>
      </c>
      <c r="J47" s="47">
        <f>-HLOOKUP($A47,'[4]Provider Arm'!$C$838:$AF$868,ROW('[4]Provider Arm'!$A$846)-ROW('[4]Provider Arm'!I$837),FALSE)</f>
        <v>206789.04689</v>
      </c>
      <c r="K47" s="47">
        <f>-HLOOKUP($A47,'[4]Provider Arm'!$C$919:$AF$949,ROW('[4]Provider Arm'!$A$927)-ROW('[4]Provider Arm'!$A$918),FALSE)</f>
        <v>215491.94063999993</v>
      </c>
      <c r="L47" s="47">
        <f>-HLOOKUP($A47,'[4]Provider Arm'!$C$1000:$AF$1030,ROW('[4]Provider Arm'!$A$1008)-ROW('[4]Provider Arm'!$A$999),FALSE)</f>
        <v>235136.93167999893</v>
      </c>
      <c r="M47" s="47">
        <f>-HLOOKUP($A47,'[4]Provider Arm'!$C$1081:$AF$1111,ROW('[4]Provider Arm'!$A$1089)-ROW('[4]Provider Arm'!$A$1080),FALSE)</f>
        <v>191750.45108000003</v>
      </c>
      <c r="O47" s="209" t="s">
        <v>231</v>
      </c>
      <c r="P47" s="89">
        <f t="shared" si="1"/>
        <v>0.64940262647633729</v>
      </c>
      <c r="Q47" s="89">
        <f t="shared" si="1"/>
        <v>0.63094410154890479</v>
      </c>
      <c r="R47" s="89">
        <f t="shared" si="1"/>
        <v>0.64637577412465275</v>
      </c>
      <c r="S47" s="89">
        <f t="shared" si="1"/>
        <v>0.63024750431764598</v>
      </c>
      <c r="T47" s="89">
        <f t="shared" si="1"/>
        <v>0.6398010248485142</v>
      </c>
      <c r="U47" s="89">
        <f t="shared" si="1"/>
        <v>0.62793304820439722</v>
      </c>
      <c r="V47" s="89">
        <f t="shared" si="1"/>
        <v>0.63306848789227566</v>
      </c>
      <c r="W47" s="89">
        <f t="shared" si="1"/>
        <v>0.64220800458273586</v>
      </c>
      <c r="X47" s="89">
        <f t="shared" si="1"/>
        <v>0.63989851062337</v>
      </c>
      <c r="Y47" s="89">
        <f t="shared" si="1"/>
        <v>0.6397796428410224</v>
      </c>
      <c r="Z47" s="89">
        <f t="shared" si="1"/>
        <v>0.63555238348448762</v>
      </c>
      <c r="AA47" s="89">
        <f t="shared" si="1"/>
        <v>0.64249207149501841</v>
      </c>
      <c r="AB47" s="89"/>
      <c r="AC47" s="89">
        <f>-HLOOKUP($A47,'[4]Provider Arm'!$C$919:$AF$949,ROW('[4]Provider Arm'!$A$922)-ROW('[4]Provider Arm'!$A$918),FALSE)/$K122</f>
        <v>0.18274978793025975</v>
      </c>
      <c r="AD47" s="89">
        <f>-HLOOKUP($A47,'[4]Provider Arm'!$C$919:$AF$949,ROW('[4]Provider Arm'!$A$923)-ROW('[4]Provider Arm'!$A$918),FALSE)/$K122</f>
        <v>0.24794869618457308</v>
      </c>
      <c r="AE47" s="89">
        <f t="shared" si="2"/>
        <v>0.2090811587261896</v>
      </c>
      <c r="AG47" s="89">
        <f>-HLOOKUP($A47,'[4]Provider Arm'!$C$1000:$AF$1030,ROW('[4]Provider Arm'!$A$1003)-ROW('[4]Provider Arm'!$A$999),FALSE)/$L122</f>
        <v>0.18269474479935516</v>
      </c>
      <c r="AH47" s="89">
        <f>-HLOOKUP($A47,'[4]Provider Arm'!$C$1000:$AF$1030,ROW('[4]Provider Arm'!$A$1004)-ROW('[4]Provider Arm'!$A$999),FALSE)/$L122</f>
        <v>0.24654576093996608</v>
      </c>
      <c r="AI47" s="89">
        <f t="shared" si="3"/>
        <v>0.20631187774516635</v>
      </c>
      <c r="AK47" s="89">
        <f>-HLOOKUP($A47,'[4]Provider Arm'!$C$1081:$AF$1111,ROW('[4]Provider Arm'!$A$1084)-ROW('[4]Provider Arm'!$A$1080),FALSE)/$M122</f>
        <v>0.17919963231100572</v>
      </c>
      <c r="AL47" s="89">
        <f>-HLOOKUP($A47,'[4]Provider Arm'!$C$1081:$AF$1111,ROW('[4]Provider Arm'!$A$1085)-ROW('[4]Provider Arm'!$A$1080),FALSE)/$M122</f>
        <v>0.26003224718054074</v>
      </c>
      <c r="AM47" s="89">
        <f t="shared" si="4"/>
        <v>0.20326019200347195</v>
      </c>
    </row>
    <row r="48" spans="1:39">
      <c r="A48" s="209" t="s">
        <v>232</v>
      </c>
      <c r="B48" s="47">
        <f>-HLOOKUP($A48,'[4]Provider Arm'!$C$8:$Y$58,ROW('[4]Provider Arm'!$A$18)-ROW('[4]Provider Arm'!A$7),FALSE)</f>
        <v>179185.18</v>
      </c>
      <c r="C48" s="47">
        <f>-HLOOKUP($A48,'[4]Provider Arm'!$C$140:$Y$190,ROW('[4]Provider Arm'!$A$150)-ROW('[4]Provider Arm'!B$139),FALSE)</f>
        <v>185950.6</v>
      </c>
      <c r="D48" s="47"/>
      <c r="E48" s="47"/>
      <c r="F48" s="47"/>
      <c r="G48" s="47"/>
      <c r="H48" s="47"/>
      <c r="I48" s="47"/>
      <c r="J48" s="47"/>
      <c r="K48" s="47"/>
      <c r="L48" s="47"/>
      <c r="M48" s="47"/>
      <c r="O48" s="209" t="s">
        <v>232</v>
      </c>
      <c r="P48" s="89">
        <f t="shared" si="1"/>
        <v>0.64705585817789157</v>
      </c>
      <c r="Q48" s="89">
        <f t="shared" si="1"/>
        <v>0.64374327178805169</v>
      </c>
      <c r="R48" s="89"/>
      <c r="S48" s="89"/>
      <c r="T48" s="89"/>
      <c r="U48" s="89"/>
      <c r="V48" s="89"/>
      <c r="W48" s="89"/>
      <c r="X48" s="89"/>
      <c r="Y48" s="89"/>
      <c r="Z48" s="89"/>
      <c r="AA48" s="89"/>
      <c r="AB48" s="89"/>
      <c r="AC48" s="89"/>
      <c r="AD48" s="89"/>
      <c r="AE48" s="89"/>
      <c r="AG48" s="89"/>
      <c r="AH48" s="89"/>
      <c r="AI48" s="89"/>
      <c r="AK48" s="89"/>
      <c r="AL48" s="89"/>
      <c r="AM48" s="89"/>
    </row>
    <row r="49" spans="1:39">
      <c r="A49" s="209" t="s">
        <v>233</v>
      </c>
      <c r="B49" s="47">
        <f>-HLOOKUP($A49,'[4]Provider Arm'!$C$8:$Y$58,ROW('[4]Provider Arm'!$A$18)-ROW('[4]Provider Arm'!A$7),FALSE)</f>
        <v>44066</v>
      </c>
      <c r="C49" s="47">
        <f>-HLOOKUP($A49,'[4]Provider Arm'!$C$140:$Y$190,ROW('[4]Provider Arm'!$A$150)-ROW('[4]Provider Arm'!B$139),FALSE)</f>
        <v>47744</v>
      </c>
      <c r="D49" s="47">
        <f>-HLOOKUP($A49,'[4]Provider Arm'!$C$268:$Y$318,ROW('[4]Provider Arm'!$A$278)-ROW('[4]Provider Arm'!C$267),FALSE)</f>
        <v>49032</v>
      </c>
      <c r="E49" s="47">
        <f>-HLOOKUP($A49,'[4]Provider Arm'!$C$394:$Y$444,ROW('[4]Provider Arm'!$A$404)-ROW('[4]Provider Arm'!D$393),FALSE)</f>
        <v>53266</v>
      </c>
      <c r="F49" s="47">
        <f>-HLOOKUP($A49,'[4]Provider Arm'!$C$516:$AE$546,ROW('[4]Provider Arm'!$A$524)-ROW('[4]Provider Arm'!E$515),FALSE)</f>
        <v>56059</v>
      </c>
      <c r="G49" s="47">
        <f>-HLOOKUP($A49,'[4]Provider Arm'!$C$596:$AE$626,ROW('[4]Provider Arm'!$A$604)-ROW('[4]Provider Arm'!F$595),FALSE)</f>
        <v>56442</v>
      </c>
      <c r="H49" s="47">
        <f>-HLOOKUP($A49,'[4]Provider Arm'!$C$676:$AE$706,ROW('[4]Provider Arm'!$A$684)-ROW('[4]Provider Arm'!G$675),FALSE)</f>
        <v>59550</v>
      </c>
      <c r="I49" s="47">
        <f>-HLOOKUP($A49,'[4]Provider Arm'!$C$757:$AF$787,ROW('[4]Provider Arm'!$A$765)-ROW('[4]Provider Arm'!H$756),FALSE)</f>
        <v>61867</v>
      </c>
      <c r="J49" s="47">
        <f>-HLOOKUP($A49,'[4]Provider Arm'!$C$838:$AF$868,ROW('[4]Provider Arm'!$A$846)-ROW('[4]Provider Arm'!I$837),FALSE)</f>
        <v>59838</v>
      </c>
      <c r="K49" s="47">
        <f>-HLOOKUP($A49,'[4]Provider Arm'!$C$919:$AF$949,ROW('[4]Provider Arm'!$A$927)-ROW('[4]Provider Arm'!$A$918),FALSE)</f>
        <v>59264</v>
      </c>
      <c r="L49" s="47">
        <f>-HLOOKUP($A49,'[4]Provider Arm'!$C$1000:$AF$1030,ROW('[4]Provider Arm'!$A$1008)-ROW('[4]Provider Arm'!$A$999),FALSE)</f>
        <v>61283</v>
      </c>
      <c r="M49" s="47">
        <f>-HLOOKUP($A49,'[4]Provider Arm'!$C$1081:$AF$1111,ROW('[4]Provider Arm'!$A$1089)-ROW('[4]Provider Arm'!$A$1080),FALSE)</f>
        <v>48466</v>
      </c>
      <c r="O49" s="209" t="s">
        <v>233</v>
      </c>
      <c r="P49" s="89">
        <f t="shared" si="1"/>
        <v>0.6079242888281875</v>
      </c>
      <c r="Q49" s="89">
        <f t="shared" si="1"/>
        <v>0.60916607124629985</v>
      </c>
      <c r="R49" s="89">
        <f t="shared" si="1"/>
        <v>0.611585092052088</v>
      </c>
      <c r="S49" s="89">
        <f t="shared" si="1"/>
        <v>0.62973340426789615</v>
      </c>
      <c r="T49" s="89">
        <f t="shared" si="1"/>
        <v>0.64267207777319213</v>
      </c>
      <c r="U49" s="89">
        <f t="shared" si="1"/>
        <v>0.63798618725203182</v>
      </c>
      <c r="V49" s="89">
        <f t="shared" si="1"/>
        <v>0.63537621100251807</v>
      </c>
      <c r="W49" s="89">
        <f t="shared" si="1"/>
        <v>0.6368914648081615</v>
      </c>
      <c r="X49" s="89">
        <f t="shared" si="1"/>
        <v>0.62239835241988328</v>
      </c>
      <c r="Y49" s="89">
        <f t="shared" si="1"/>
        <v>0.62287431946692451</v>
      </c>
      <c r="Z49" s="89">
        <f t="shared" si="1"/>
        <v>0.62164492503702506</v>
      </c>
      <c r="AA49" s="89">
        <f t="shared" si="1"/>
        <v>0.63414761798840724</v>
      </c>
      <c r="AB49" s="89"/>
      <c r="AC49" s="89">
        <f>-HLOOKUP($A49,'[4]Provider Arm'!$C$919:$AF$949,ROW('[4]Provider Arm'!$A$922)-ROW('[4]Provider Arm'!$A$918),FALSE)/$K124</f>
        <v>0.17111596914216046</v>
      </c>
      <c r="AD49" s="89">
        <f>-HLOOKUP($A49,'[4]Provider Arm'!$C$919:$AF$949,ROW('[4]Provider Arm'!$A$923)-ROW('[4]Provider Arm'!$A$918),FALSE)/$K124</f>
        <v>0.27524015723204337</v>
      </c>
      <c r="AE49" s="89">
        <f t="shared" si="2"/>
        <v>0.17651819309272065</v>
      </c>
      <c r="AG49" s="89">
        <f>-HLOOKUP($A49,'[4]Provider Arm'!$C$1000:$AF$1030,ROW('[4]Provider Arm'!$A$1003)-ROW('[4]Provider Arm'!$A$999),FALSE)/$L124</f>
        <v>0.17805481730944797</v>
      </c>
      <c r="AH49" s="89">
        <f>-HLOOKUP($A49,'[4]Provider Arm'!$C$1000:$AF$1030,ROW('[4]Provider Arm'!$A$1004)-ROW('[4]Provider Arm'!$A$999),FALSE)/$L124</f>
        <v>0.26992757298492626</v>
      </c>
      <c r="AI49" s="89">
        <f t="shared" si="3"/>
        <v>0.17366253474265081</v>
      </c>
      <c r="AK49" s="89">
        <f>-HLOOKUP($A49,'[4]Provider Arm'!$C$1081:$AF$1111,ROW('[4]Provider Arm'!$A$1084)-ROW('[4]Provider Arm'!$A$1080),FALSE)/$M124</f>
        <v>0.19192170306305364</v>
      </c>
      <c r="AL49" s="89">
        <f>-HLOOKUP($A49,'[4]Provider Arm'!$C$1081:$AF$1111,ROW('[4]Provider Arm'!$A$1085)-ROW('[4]Provider Arm'!$A$1080),FALSE)/$M124</f>
        <v>0.27125230612218193</v>
      </c>
      <c r="AM49" s="89">
        <f t="shared" si="4"/>
        <v>0.17097360880317169</v>
      </c>
    </row>
    <row r="50" spans="1:39">
      <c r="A50" s="209" t="s">
        <v>234</v>
      </c>
      <c r="B50" s="215">
        <f>B48+B51</f>
        <v>253336.89899999998</v>
      </c>
      <c r="C50" s="215">
        <f>C48+C51</f>
        <v>265765.77789999999</v>
      </c>
      <c r="D50" s="47">
        <f>-HLOOKUP($A50,'[4]Provider Arm'!$C$268:$Y$318,ROW('[4]Provider Arm'!$A$278)-ROW('[4]Provider Arm'!C$267),FALSE)</f>
        <v>286825.73990000004</v>
      </c>
      <c r="E50" s="47">
        <f>-HLOOKUP($A50,'[4]Provider Arm'!$C$394:$Y$444,ROW('[4]Provider Arm'!$A$404)-ROW('[4]Provider Arm'!D$393),FALSE)</f>
        <v>294665.85439999995</v>
      </c>
      <c r="F50" s="47">
        <f>-HLOOKUP($A50,'[4]Provider Arm'!$C$516:$AE$546,ROW('[4]Provider Arm'!$A$524)-ROW('[4]Provider Arm'!E$515),FALSE)</f>
        <v>313512.60714999994</v>
      </c>
      <c r="G50" s="47">
        <f>-HLOOKUP($A50,'[4]Provider Arm'!$C$596:$AE$626,ROW('[4]Provider Arm'!$A$604)-ROW('[4]Provider Arm'!F$595),FALSE)</f>
        <v>320332.91917999997</v>
      </c>
      <c r="H50" s="47">
        <f>-HLOOKUP($A50,'[4]Provider Arm'!$C$676:$AE$706,ROW('[4]Provider Arm'!$A$684)-ROW('[4]Provider Arm'!G$675),FALSE)</f>
        <v>333081.87103000004</v>
      </c>
      <c r="I50" s="47">
        <f>-HLOOKUP($A50,'[4]Provider Arm'!$C$757:$AF$787,ROW('[4]Provider Arm'!$A$765)-ROW('[4]Provider Arm'!H$756),FALSE)</f>
        <v>340088.36930999998</v>
      </c>
      <c r="J50" s="47">
        <f>-HLOOKUP($A50,'[4]Provider Arm'!$C$838:$AF$868,ROW('[4]Provider Arm'!$A$846)-ROW('[4]Provider Arm'!I$837),FALSE)</f>
        <v>349504.10629999998</v>
      </c>
      <c r="K50" s="47">
        <f>-HLOOKUP($A50,'[4]Provider Arm'!$C$919:$AF$949,ROW('[4]Provider Arm'!$A$927)-ROW('[4]Provider Arm'!$A$918),FALSE)</f>
        <v>357415.71454000007</v>
      </c>
      <c r="L50" s="47">
        <f>-HLOOKUP($A50,'[4]Provider Arm'!$C$1000:$AF$1030,ROW('[4]Provider Arm'!$A$1008)-ROW('[4]Provider Arm'!$A$999),FALSE)</f>
        <v>365342.07202999992</v>
      </c>
      <c r="M50" s="47">
        <f>-HLOOKUP($A50,'[4]Provider Arm'!$C$1081:$AF$1111,ROW('[4]Provider Arm'!$A$1089)-ROW('[4]Provider Arm'!$A$1080),FALSE)</f>
        <v>291387.88493999996</v>
      </c>
      <c r="O50" s="209" t="s">
        <v>234</v>
      </c>
      <c r="P50" s="216">
        <f t="shared" si="1"/>
        <v>0.63370403071539549</v>
      </c>
      <c r="Q50" s="216">
        <f t="shared" si="1"/>
        <v>0.62275096784745887</v>
      </c>
      <c r="R50" s="89">
        <f t="shared" si="1"/>
        <v>0.63757777369295843</v>
      </c>
      <c r="S50" s="89">
        <f t="shared" si="1"/>
        <v>0.64486572440045387</v>
      </c>
      <c r="T50" s="89">
        <f t="shared" si="1"/>
        <v>0.6493229274751976</v>
      </c>
      <c r="U50" s="89">
        <f t="shared" si="1"/>
        <v>0.66407746069431095</v>
      </c>
      <c r="V50" s="89">
        <f t="shared" si="1"/>
        <v>0.66675857472023081</v>
      </c>
      <c r="W50" s="89">
        <f t="shared" si="1"/>
        <v>0.64807260381586684</v>
      </c>
      <c r="X50" s="89">
        <f t="shared" si="1"/>
        <v>0.64211741601487182</v>
      </c>
      <c r="Y50" s="89">
        <f t="shared" si="1"/>
        <v>0.64645202453674844</v>
      </c>
      <c r="Z50" s="89">
        <f t="shared" si="1"/>
        <v>0.63886075160657374</v>
      </c>
      <c r="AA50" s="89">
        <f t="shared" si="1"/>
        <v>0.63296352864230554</v>
      </c>
      <c r="AB50" s="89"/>
      <c r="AC50" s="89">
        <f>-HLOOKUP($A50,'[4]Provider Arm'!$C$919:$AF$949,ROW('[4]Provider Arm'!$A$922)-ROW('[4]Provider Arm'!$A$918),FALSE)/$K125</f>
        <v>0.22163326380151704</v>
      </c>
      <c r="AD50" s="89">
        <f>-HLOOKUP($A50,'[4]Provider Arm'!$C$919:$AF$949,ROW('[4]Provider Arm'!$A$923)-ROW('[4]Provider Arm'!$A$918),FALSE)/$K125</f>
        <v>0.24838501166372598</v>
      </c>
      <c r="AE50" s="89">
        <f t="shared" si="2"/>
        <v>0.17643374907150544</v>
      </c>
      <c r="AG50" s="89">
        <f>-HLOOKUP($A50,'[4]Provider Arm'!$C$1000:$AF$1030,ROW('[4]Provider Arm'!$A$1003)-ROW('[4]Provider Arm'!$A$999),FALSE)/$L125</f>
        <v>0.22011921542306859</v>
      </c>
      <c r="AH50" s="89">
        <f>-HLOOKUP($A50,'[4]Provider Arm'!$C$1000:$AF$1030,ROW('[4]Provider Arm'!$A$1004)-ROW('[4]Provider Arm'!$A$999),FALSE)/$L125</f>
        <v>0.24964100789905666</v>
      </c>
      <c r="AI50" s="89">
        <f t="shared" si="3"/>
        <v>0.16910052828444849</v>
      </c>
      <c r="AK50" s="89">
        <f>-HLOOKUP($A50,'[4]Provider Arm'!$C$1081:$AF$1111,ROW('[4]Provider Arm'!$A$1084)-ROW('[4]Provider Arm'!$A$1080),FALSE)/$M125</f>
        <v>0.22307779209284459</v>
      </c>
      <c r="AL50" s="89">
        <f>-HLOOKUP($A50,'[4]Provider Arm'!$C$1081:$AF$1111,ROW('[4]Provider Arm'!$A$1085)-ROW('[4]Provider Arm'!$A$1080),FALSE)/$M125</f>
        <v>0.23922322765378554</v>
      </c>
      <c r="AM50" s="89">
        <f t="shared" si="4"/>
        <v>0.17066250889567541</v>
      </c>
    </row>
    <row r="51" spans="1:39">
      <c r="A51" s="209" t="s">
        <v>235</v>
      </c>
      <c r="B51" s="47">
        <f>-HLOOKUP($A51,'[4]Provider Arm'!$C$8:$Y$58,ROW('[4]Provider Arm'!$A$18)-ROW('[4]Provider Arm'!A$7),FALSE)</f>
        <v>74151.718999999997</v>
      </c>
      <c r="C51" s="47">
        <f>-HLOOKUP($A51,'[4]Provider Arm'!$C$140:$Y$190,ROW('[4]Provider Arm'!$A$150)-ROW('[4]Provider Arm'!B$139),FALSE)</f>
        <v>79815.177899999995</v>
      </c>
      <c r="D51" s="47"/>
      <c r="E51" s="47"/>
      <c r="F51" s="47"/>
      <c r="G51" s="47"/>
      <c r="H51" s="47"/>
      <c r="I51" s="47"/>
      <c r="J51" s="47"/>
      <c r="K51" s="47"/>
      <c r="L51" s="47"/>
      <c r="M51" s="47"/>
      <c r="O51" s="209" t="s">
        <v>235</v>
      </c>
      <c r="P51" s="89">
        <f t="shared" si="1"/>
        <v>0.60360631229440065</v>
      </c>
      <c r="Q51" s="89">
        <f t="shared" si="1"/>
        <v>0.57877934212831395</v>
      </c>
      <c r="R51" s="89"/>
      <c r="S51" s="89"/>
      <c r="T51" s="89"/>
      <c r="U51" s="89"/>
      <c r="V51" s="89"/>
      <c r="W51" s="89"/>
      <c r="X51" s="89"/>
      <c r="Y51" s="89"/>
      <c r="Z51" s="89"/>
      <c r="AA51" s="89"/>
      <c r="AB51" s="89"/>
      <c r="AC51" s="89"/>
      <c r="AD51" s="89"/>
      <c r="AE51" s="89"/>
      <c r="AG51" s="89"/>
      <c r="AH51" s="89"/>
      <c r="AI51" s="89"/>
      <c r="AK51" s="89"/>
      <c r="AL51" s="89"/>
      <c r="AM51" s="89"/>
    </row>
    <row r="52" spans="1:39">
      <c r="A52" s="209" t="s">
        <v>236</v>
      </c>
      <c r="B52" s="47">
        <f>-HLOOKUP($A52,'[4]Provider Arm'!$C$8:$Y$58,ROW('[4]Provider Arm'!$A$18)-ROW('[4]Provider Arm'!A$7),FALSE)</f>
        <v>39888.101499999997</v>
      </c>
      <c r="C52" s="47">
        <f>-HLOOKUP($A52,'[4]Provider Arm'!$C$140:$Y$190,ROW('[4]Provider Arm'!$A$150)-ROW('[4]Provider Arm'!B$139),FALSE)</f>
        <v>48337.428000000007</v>
      </c>
      <c r="D52" s="47">
        <f>-HLOOKUP($A52,'[4]Provider Arm'!$C$268:$Y$318,ROW('[4]Provider Arm'!$A$278)-ROW('[4]Provider Arm'!C$267),FALSE)</f>
        <v>52012.398000000001</v>
      </c>
      <c r="E52" s="47">
        <f>-HLOOKUP($A52,'[4]Provider Arm'!$C$394:$Y$444,ROW('[4]Provider Arm'!$A$404)-ROW('[4]Provider Arm'!D$393),FALSE)</f>
        <v>53036.55</v>
      </c>
      <c r="F52" s="47">
        <f>-HLOOKUP($A52,'[4]Provider Arm'!$C$516:$AE$546,ROW('[4]Provider Arm'!$A$524)-ROW('[4]Provider Arm'!E$515),FALSE)</f>
        <v>55300</v>
      </c>
      <c r="G52" s="47">
        <f>-HLOOKUP($A52,'[4]Provider Arm'!$C$596:$AE$626,ROW('[4]Provider Arm'!$A$604)-ROW('[4]Provider Arm'!F$595),FALSE)</f>
        <v>57277</v>
      </c>
      <c r="H52" s="47">
        <f>-HLOOKUP($A52,'[4]Provider Arm'!$C$676:$AE$706,ROW('[4]Provider Arm'!$A$684)-ROW('[4]Provider Arm'!G$675),FALSE)</f>
        <v>58156</v>
      </c>
      <c r="I52" s="47">
        <f>-HLOOKUP($A52,'[4]Provider Arm'!$C$757:$AF$787,ROW('[4]Provider Arm'!$A$765)-ROW('[4]Provider Arm'!H$756),FALSE)</f>
        <v>59653</v>
      </c>
      <c r="J52" s="47">
        <f>-HLOOKUP($A52,'[4]Provider Arm'!$C$838:$AF$868,ROW('[4]Provider Arm'!$A$846)-ROW('[4]Provider Arm'!I$837),FALSE)</f>
        <v>63494.089</v>
      </c>
      <c r="K52" s="47">
        <f>-HLOOKUP($A52,'[4]Provider Arm'!$C$919:$AF$949,ROW('[4]Provider Arm'!$A$927)-ROW('[4]Provider Arm'!$A$918),FALSE)</f>
        <v>64500</v>
      </c>
      <c r="L52" s="47">
        <f>-HLOOKUP($A52,'[4]Provider Arm'!$C$1000:$AF$1030,ROW('[4]Provider Arm'!$A$1008)-ROW('[4]Provider Arm'!$A$999),FALSE)</f>
        <v>69220</v>
      </c>
      <c r="M52" s="47">
        <f>-HLOOKUP($A52,'[4]Provider Arm'!$C$1081:$AF$1111,ROW('[4]Provider Arm'!$A$1089)-ROW('[4]Provider Arm'!$A$1080),FALSE)</f>
        <v>55538</v>
      </c>
      <c r="O52" s="209" t="s">
        <v>236</v>
      </c>
      <c r="P52" s="89">
        <f t="shared" si="1"/>
        <v>0.60115683210898763</v>
      </c>
      <c r="Q52" s="89">
        <f t="shared" si="1"/>
        <v>0.62080996636672325</v>
      </c>
      <c r="R52" s="89">
        <f t="shared" si="1"/>
        <v>0.63234534000173825</v>
      </c>
      <c r="S52" s="89">
        <f t="shared" si="1"/>
        <v>0.62420697959642535</v>
      </c>
      <c r="T52" s="89">
        <f t="shared" si="1"/>
        <v>0.6389222663832147</v>
      </c>
      <c r="U52" s="89">
        <f t="shared" si="1"/>
        <v>0.6283335344515506</v>
      </c>
      <c r="V52" s="89">
        <f t="shared" si="1"/>
        <v>0.63448215668946861</v>
      </c>
      <c r="W52" s="89">
        <f t="shared" si="1"/>
        <v>0.62037730354840048</v>
      </c>
      <c r="X52" s="89">
        <f t="shared" si="1"/>
        <v>0.64866982467172074</v>
      </c>
      <c r="Y52" s="89">
        <f t="shared" si="1"/>
        <v>0.64411112664522963</v>
      </c>
      <c r="Z52" s="89">
        <f t="shared" si="1"/>
        <v>0.6488503107394944</v>
      </c>
      <c r="AA52" s="89">
        <f t="shared" si="1"/>
        <v>0.64716781057366257</v>
      </c>
      <c r="AB52" s="89"/>
      <c r="AC52" s="89">
        <f>-HLOOKUP($A52,'[4]Provider Arm'!$C$919:$AF$949,ROW('[4]Provider Arm'!$A$922)-ROW('[4]Provider Arm'!$A$918),FALSE)/$K127</f>
        <v>0.20342926761069724</v>
      </c>
      <c r="AD52" s="89">
        <f>-HLOOKUP($A52,'[4]Provider Arm'!$C$919:$AF$949,ROW('[4]Provider Arm'!$A$923)-ROW('[4]Provider Arm'!$A$918),FALSE)/$K127</f>
        <v>0.24344404721484353</v>
      </c>
      <c r="AE52" s="89">
        <f t="shared" si="2"/>
        <v>0.19723781181968886</v>
      </c>
      <c r="AG52" s="89">
        <f>-HLOOKUP($A52,'[4]Provider Arm'!$C$1000:$AF$1030,ROW('[4]Provider Arm'!$A$1003)-ROW('[4]Provider Arm'!$A$999),FALSE)/$L127</f>
        <v>0.19878891273985058</v>
      </c>
      <c r="AH52" s="89">
        <f>-HLOOKUP($A52,'[4]Provider Arm'!$C$1000:$AF$1030,ROW('[4]Provider Arm'!$A$1004)-ROW('[4]Provider Arm'!$A$999),FALSE)/$L127</f>
        <v>0.24837599947507052</v>
      </c>
      <c r="AI52" s="89">
        <f t="shared" si="3"/>
        <v>0.20168539852457329</v>
      </c>
      <c r="AK52" s="89">
        <f>-HLOOKUP($A52,'[4]Provider Arm'!$C$1081:$AF$1111,ROW('[4]Provider Arm'!$A$1084)-ROW('[4]Provider Arm'!$A$1080),FALSE)/$M127</f>
        <v>0.19299206450936296</v>
      </c>
      <c r="AL52" s="89">
        <f>-HLOOKUP($A52,'[4]Provider Arm'!$C$1081:$AF$1111,ROW('[4]Provider Arm'!$A$1085)-ROW('[4]Provider Arm'!$A$1080),FALSE)/$M127</f>
        <v>0.25078947061770979</v>
      </c>
      <c r="AM52" s="89">
        <f t="shared" si="4"/>
        <v>0.20338627544658983</v>
      </c>
    </row>
    <row r="53" spans="1:39">
      <c r="A53" s="209" t="s">
        <v>237</v>
      </c>
      <c r="B53" s="47">
        <f>-HLOOKUP($A53,'[4]Provider Arm'!$C$8:$Y$58,ROW('[4]Provider Arm'!$A$18)-ROW('[4]Provider Arm'!A$7),FALSE)</f>
        <v>85550</v>
      </c>
      <c r="C53" s="47">
        <f>-HLOOKUP($A53,'[4]Provider Arm'!$C$140:$Y$190,ROW('[4]Provider Arm'!$A$150)-ROW('[4]Provider Arm'!B$139),FALSE)</f>
        <v>91407</v>
      </c>
      <c r="D53" s="47">
        <f>-HLOOKUP($A53,'[4]Provider Arm'!$C$268:$Y$318,ROW('[4]Provider Arm'!$A$278)-ROW('[4]Provider Arm'!C$267),FALSE)</f>
        <v>98707</v>
      </c>
      <c r="E53" s="47">
        <f>-HLOOKUP($A53,'[4]Provider Arm'!$C$394:$Y$444,ROW('[4]Provider Arm'!$A$404)-ROW('[4]Provider Arm'!D$393),FALSE)</f>
        <v>100618</v>
      </c>
      <c r="F53" s="47">
        <f>-HLOOKUP($A53,'[4]Provider Arm'!$C$516:$AE$546,ROW('[4]Provider Arm'!$A$524)-ROW('[4]Provider Arm'!E$515),FALSE)</f>
        <v>105393</v>
      </c>
      <c r="G53" s="47">
        <f>-HLOOKUP($A53,'[4]Provider Arm'!$C$596:$AE$626,ROW('[4]Provider Arm'!$A$604)-ROW('[4]Provider Arm'!F$595),FALSE)</f>
        <v>109849</v>
      </c>
      <c r="H53" s="47">
        <f>-HLOOKUP($A53,'[4]Provider Arm'!$C$676:$AE$706,ROW('[4]Provider Arm'!$A$684)-ROW('[4]Provider Arm'!G$675),FALSE)</f>
        <v>110021</v>
      </c>
      <c r="I53" s="47">
        <f>-HLOOKUP($A53,'[4]Provider Arm'!$C$757:$AF$787,ROW('[4]Provider Arm'!$A$765)-ROW('[4]Provider Arm'!H$756),FALSE)</f>
        <v>113704</v>
      </c>
      <c r="J53" s="47">
        <f>-HLOOKUP($A53,'[4]Provider Arm'!$C$838:$AF$868,ROW('[4]Provider Arm'!$A$846)-ROW('[4]Provider Arm'!I$837),FALSE)</f>
        <v>121904</v>
      </c>
      <c r="K53" s="47">
        <f>-HLOOKUP($A53,'[4]Provider Arm'!$C$919:$AF$949,ROW('[4]Provider Arm'!$A$927)-ROW('[4]Provider Arm'!$A$918),FALSE)</f>
        <v>129885</v>
      </c>
      <c r="L53" s="47">
        <f>-HLOOKUP($A53,'[4]Provider Arm'!$C$1000:$AF$1030,ROW('[4]Provider Arm'!$A$1008)-ROW('[4]Provider Arm'!$A$999),FALSE)</f>
        <v>141049</v>
      </c>
      <c r="M53" s="47">
        <f>-HLOOKUP($A53,'[4]Provider Arm'!$C$1081:$AF$1111,ROW('[4]Provider Arm'!$A$1089)-ROW('[4]Provider Arm'!$A$1080),FALSE)</f>
        <v>113826</v>
      </c>
      <c r="O53" s="209" t="s">
        <v>237</v>
      </c>
      <c r="P53" s="89">
        <f t="shared" ref="P53:AA74" si="5">B53/B128</f>
        <v>0.54368895018144148</v>
      </c>
      <c r="Q53" s="89">
        <f t="shared" si="5"/>
        <v>0.54856597591055578</v>
      </c>
      <c r="R53" s="89">
        <f t="shared" si="5"/>
        <v>0.57047495752083499</v>
      </c>
      <c r="S53" s="89">
        <f t="shared" si="5"/>
        <v>0.58041925770388914</v>
      </c>
      <c r="T53" s="89">
        <f t="shared" si="5"/>
        <v>0.59505070123534853</v>
      </c>
      <c r="U53" s="89">
        <f t="shared" si="5"/>
        <v>0.6027148477150398</v>
      </c>
      <c r="V53" s="89">
        <f t="shared" si="5"/>
        <v>0.58583196221572609</v>
      </c>
      <c r="W53" s="89">
        <f t="shared" si="5"/>
        <v>0.58093753991569808</v>
      </c>
      <c r="X53" s="89">
        <f t="shared" si="5"/>
        <v>0.59738999612860855</v>
      </c>
      <c r="Y53" s="89">
        <f t="shared" si="5"/>
        <v>0.61522174697682352</v>
      </c>
      <c r="Z53" s="89">
        <f t="shared" si="5"/>
        <v>0.62780522544175899</v>
      </c>
      <c r="AA53" s="89">
        <f t="shared" si="5"/>
        <v>0.62439179589575367</v>
      </c>
      <c r="AB53" s="89"/>
      <c r="AC53" s="89">
        <f>-HLOOKUP($A53,'[4]Provider Arm'!$C$919:$AF$949,ROW('[4]Provider Arm'!$A$922)-ROW('[4]Provider Arm'!$A$918),FALSE)/$K128</f>
        <v>0.17057678370966137</v>
      </c>
      <c r="AD53" s="89">
        <f>-HLOOKUP($A53,'[4]Provider Arm'!$C$919:$AF$949,ROW('[4]Provider Arm'!$A$923)-ROW('[4]Provider Arm'!$A$918),FALSE)/$K128</f>
        <v>0.23543593897280682</v>
      </c>
      <c r="AE53" s="89">
        <f t="shared" si="2"/>
        <v>0.20920902429435534</v>
      </c>
      <c r="AG53" s="89">
        <f>-HLOOKUP($A53,'[4]Provider Arm'!$C$1000:$AF$1030,ROW('[4]Provider Arm'!$A$1003)-ROW('[4]Provider Arm'!$A$999),FALSE)/$L128</f>
        <v>0.18807139359950148</v>
      </c>
      <c r="AH53" s="89">
        <f>-HLOOKUP($A53,'[4]Provider Arm'!$C$1000:$AF$1030,ROW('[4]Provider Arm'!$A$1004)-ROW('[4]Provider Arm'!$A$999),FALSE)/$L128</f>
        <v>0.23563003516268305</v>
      </c>
      <c r="AI53" s="89">
        <f t="shared" si="3"/>
        <v>0.20410379667957446</v>
      </c>
      <c r="AK53" s="89">
        <f>-HLOOKUP($A53,'[4]Provider Arm'!$C$1081:$AF$1111,ROW('[4]Provider Arm'!$A$1084)-ROW('[4]Provider Arm'!$A$1080),FALSE)/$M128</f>
        <v>0.19144372706377982</v>
      </c>
      <c r="AL53" s="89">
        <f>-HLOOKUP($A53,'[4]Provider Arm'!$C$1081:$AF$1111,ROW('[4]Provider Arm'!$A$1085)-ROW('[4]Provider Arm'!$A$1080),FALSE)/$M128</f>
        <v>0.23626569536859773</v>
      </c>
      <c r="AM53" s="89">
        <f t="shared" si="4"/>
        <v>0.19668237346337614</v>
      </c>
    </row>
    <row r="54" spans="1:39">
      <c r="A54" s="209" t="s">
        <v>238</v>
      </c>
      <c r="B54" s="47">
        <f>-HLOOKUP($A54,'[4]Provider Arm'!$C$8:$Y$58,ROW('[4]Provider Arm'!$A$18)-ROW('[4]Provider Arm'!A$7),FALSE)</f>
        <v>339760.07699999999</v>
      </c>
      <c r="C54" s="47">
        <f>-HLOOKUP($A54,'[4]Provider Arm'!$C$140:$Y$190,ROW('[4]Provider Arm'!$A$150)-ROW('[4]Provider Arm'!B$139),FALSE)</f>
        <v>376573</v>
      </c>
      <c r="D54" s="47">
        <f>-HLOOKUP($A54,'[4]Provider Arm'!$C$268:$Y$318,ROW('[4]Provider Arm'!$A$278)-ROW('[4]Provider Arm'!C$267),FALSE)</f>
        <v>405970</v>
      </c>
      <c r="E54" s="47">
        <f>-HLOOKUP($A54,'[4]Provider Arm'!$C$394:$Y$444,ROW('[4]Provider Arm'!$A$404)-ROW('[4]Provider Arm'!D$393),FALSE)</f>
        <v>424419</v>
      </c>
      <c r="F54" s="47">
        <f>-HLOOKUP($A54,'[4]Provider Arm'!$C$516:$AE$546,ROW('[4]Provider Arm'!$A$524)-ROW('[4]Provider Arm'!E$515),FALSE)</f>
        <v>444961</v>
      </c>
      <c r="G54" s="47">
        <f>-HLOOKUP($A54,'[4]Provider Arm'!$C$596:$AE$626,ROW('[4]Provider Arm'!$A$604)-ROW('[4]Provider Arm'!F$595),FALSE)</f>
        <v>457192</v>
      </c>
      <c r="H54" s="47">
        <f>-HLOOKUP($A54,'[4]Provider Arm'!$C$676:$AE$706,ROW('[4]Provider Arm'!$A$684)-ROW('[4]Provider Arm'!G$675),FALSE)</f>
        <v>481160.2</v>
      </c>
      <c r="I54" s="47">
        <f>-HLOOKUP($A54,'[4]Provider Arm'!$C$757:$AF$787,ROW('[4]Provider Arm'!$A$765)-ROW('[4]Provider Arm'!H$756),FALSE)</f>
        <v>496013.06628999999</v>
      </c>
      <c r="J54" s="47">
        <f>-HLOOKUP($A54,'[4]Provider Arm'!$C$838:$AF$868,ROW('[4]Provider Arm'!$A$846)-ROW('[4]Provider Arm'!I$837),FALSE)</f>
        <v>514108.30177000008</v>
      </c>
      <c r="K54" s="47">
        <f>-HLOOKUP($A54,'[4]Provider Arm'!$C$919:$AF$949,ROW('[4]Provider Arm'!$A$927)-ROW('[4]Provider Arm'!$A$918),FALSE)</f>
        <v>535122.33381000021</v>
      </c>
      <c r="L54" s="47">
        <f>-HLOOKUP($A54,'[4]Provider Arm'!$C$1000:$AF$1030,ROW('[4]Provider Arm'!$A$1008)-ROW('[4]Provider Arm'!$A$999),FALSE)</f>
        <v>571562.22795999993</v>
      </c>
      <c r="M54" s="47">
        <f>-HLOOKUP($A54,'[4]Provider Arm'!$C$1081:$AF$1111,ROW('[4]Provider Arm'!$A$1089)-ROW('[4]Provider Arm'!$A$1080),FALSE)</f>
        <v>476927.31025000004</v>
      </c>
      <c r="O54" s="209" t="s">
        <v>238</v>
      </c>
      <c r="P54" s="89">
        <f t="shared" si="5"/>
        <v>0.61742803783443911</v>
      </c>
      <c r="Q54" s="89">
        <f t="shared" si="5"/>
        <v>0.591366002653957</v>
      </c>
      <c r="R54" s="89">
        <f t="shared" si="5"/>
        <v>0.60399259682449002</v>
      </c>
      <c r="S54" s="89">
        <f t="shared" si="5"/>
        <v>0.54458982442768666</v>
      </c>
      <c r="T54" s="89">
        <f t="shared" si="5"/>
        <v>0.60709890439741854</v>
      </c>
      <c r="U54" s="89">
        <f t="shared" si="5"/>
        <v>0.59892213090057356</v>
      </c>
      <c r="V54" s="89">
        <f t="shared" si="5"/>
        <v>0.60769714880326675</v>
      </c>
      <c r="W54" s="89">
        <f t="shared" si="5"/>
        <v>0.6032530209530369</v>
      </c>
      <c r="X54" s="89">
        <f t="shared" si="5"/>
        <v>0.6136640944021502</v>
      </c>
      <c r="Y54" s="89">
        <f t="shared" si="5"/>
        <v>0.60247582163681823</v>
      </c>
      <c r="Z54" s="89">
        <f t="shared" si="5"/>
        <v>0.58338181137658651</v>
      </c>
      <c r="AA54" s="89">
        <f t="shared" si="5"/>
        <v>0.59957338813068295</v>
      </c>
      <c r="AB54" s="89"/>
      <c r="AC54" s="89">
        <f>-HLOOKUP($A54,'[4]Provider Arm'!$C$919:$AF$949,ROW('[4]Provider Arm'!$A$922)-ROW('[4]Provider Arm'!$A$918),FALSE)/$K129</f>
        <v>0.18215616681748575</v>
      </c>
      <c r="AD54" s="89">
        <f>-HLOOKUP($A54,'[4]Provider Arm'!$C$919:$AF$949,ROW('[4]Provider Arm'!$A$923)-ROW('[4]Provider Arm'!$A$918),FALSE)/$K129</f>
        <v>0.23371105057167624</v>
      </c>
      <c r="AE54" s="89">
        <f t="shared" si="2"/>
        <v>0.18660860424765624</v>
      </c>
      <c r="AG54" s="89">
        <f>-HLOOKUP($A54,'[4]Provider Arm'!$C$1000:$AF$1030,ROW('[4]Provider Arm'!$A$1003)-ROW('[4]Provider Arm'!$A$999),FALSE)/$L129</f>
        <v>0.17917539287596629</v>
      </c>
      <c r="AH54" s="89">
        <f>-HLOOKUP($A54,'[4]Provider Arm'!$C$1000:$AF$1030,ROW('[4]Provider Arm'!$A$1004)-ROW('[4]Provider Arm'!$A$999),FALSE)/$L129</f>
        <v>0.22762270458052861</v>
      </c>
      <c r="AI54" s="89">
        <f t="shared" si="3"/>
        <v>0.17658371392009165</v>
      </c>
      <c r="AK54" s="89">
        <f>-HLOOKUP($A54,'[4]Provider Arm'!$C$1081:$AF$1111,ROW('[4]Provider Arm'!$A$1084)-ROW('[4]Provider Arm'!$A$1080),FALSE)/$M129</f>
        <v>0.18225926644713758</v>
      </c>
      <c r="AL54" s="89">
        <f>-HLOOKUP($A54,'[4]Provider Arm'!$C$1081:$AF$1111,ROW('[4]Provider Arm'!$A$1085)-ROW('[4]Provider Arm'!$A$1080),FALSE)/$M129</f>
        <v>0.23852046645441788</v>
      </c>
      <c r="AM54" s="89">
        <f t="shared" si="4"/>
        <v>0.17879365522912749</v>
      </c>
    </row>
    <row r="55" spans="1:39">
      <c r="A55" s="209" t="s">
        <v>239</v>
      </c>
      <c r="B55" s="47">
        <f>-HLOOKUP($A55,'[4]Provider Arm'!$C$8:$Y$58,ROW('[4]Provider Arm'!$A$18)-ROW('[4]Provider Arm'!A$7),FALSE)</f>
        <v>30014</v>
      </c>
      <c r="C55" s="47">
        <f>-HLOOKUP($A55,'[4]Provider Arm'!$C$140:$Y$190,ROW('[4]Provider Arm'!$A$150)-ROW('[4]Provider Arm'!B$139),FALSE)</f>
        <v>32724</v>
      </c>
      <c r="D55" s="47">
        <f>-HLOOKUP($A55,'[4]Provider Arm'!$C$268:$Y$318,ROW('[4]Provider Arm'!$A$278)-ROW('[4]Provider Arm'!C$267),FALSE)</f>
        <v>32714</v>
      </c>
      <c r="E55" s="47">
        <f>-HLOOKUP($A55,'[4]Provider Arm'!$C$394:$Y$444,ROW('[4]Provider Arm'!$A$404)-ROW('[4]Provider Arm'!D$393),FALSE)</f>
        <v>33384</v>
      </c>
      <c r="F55" s="47">
        <f>-HLOOKUP($A55,'[4]Provider Arm'!$C$516:$AE$546,ROW('[4]Provider Arm'!$A$524)-ROW('[4]Provider Arm'!E$515),FALSE)</f>
        <v>33449</v>
      </c>
      <c r="G55" s="47">
        <f>-HLOOKUP($A55,'[4]Provider Arm'!$C$596:$AE$626,ROW('[4]Provider Arm'!$A$604)-ROW('[4]Provider Arm'!F$595),FALSE)</f>
        <v>34189</v>
      </c>
      <c r="H55" s="47">
        <f>-HLOOKUP($A55,'[4]Provider Arm'!$C$676:$AE$706,ROW('[4]Provider Arm'!$A$684)-ROW('[4]Provider Arm'!G$675),FALSE)</f>
        <v>34364</v>
      </c>
      <c r="I55" s="47">
        <f>-HLOOKUP($A55,'[4]Provider Arm'!$C$757:$AF$787,ROW('[4]Provider Arm'!$A$765)-ROW('[4]Provider Arm'!H$756),FALSE)</f>
        <v>36718</v>
      </c>
      <c r="J55" s="47">
        <f>-HLOOKUP($A55,'[4]Provider Arm'!$C$838:$AF$868,ROW('[4]Provider Arm'!$A$846)-ROW('[4]Provider Arm'!I$837),FALSE)</f>
        <v>40011.413229999984</v>
      </c>
      <c r="K55" s="47">
        <f>-HLOOKUP($A55,'[4]Provider Arm'!$C$919:$AF$949,ROW('[4]Provider Arm'!$A$927)-ROW('[4]Provider Arm'!$A$918),FALSE)</f>
        <v>40273.30068</v>
      </c>
      <c r="L55" s="47">
        <f>-HLOOKUP($A55,'[4]Provider Arm'!$C$1000:$AF$1030,ROW('[4]Provider Arm'!$A$1008)-ROW('[4]Provider Arm'!$A$999),FALSE)</f>
        <v>43521.089190000006</v>
      </c>
      <c r="M55" s="47">
        <f>-HLOOKUP($A55,'[4]Provider Arm'!$C$1081:$AF$1111,ROW('[4]Provider Arm'!$A$1089)-ROW('[4]Provider Arm'!$A$1080),FALSE)</f>
        <v>35321.893470000003</v>
      </c>
      <c r="O55" s="209" t="s">
        <v>239</v>
      </c>
      <c r="P55" s="89">
        <f t="shared" si="5"/>
        <v>0.56491092686874766</v>
      </c>
      <c r="Q55" s="89">
        <f t="shared" si="5"/>
        <v>0.5507514684349597</v>
      </c>
      <c r="R55" s="89">
        <f t="shared" si="5"/>
        <v>0.56376232163783002</v>
      </c>
      <c r="S55" s="89">
        <f t="shared" si="5"/>
        <v>0.56004965693100039</v>
      </c>
      <c r="T55" s="89">
        <f t="shared" si="5"/>
        <v>0.54320606720041575</v>
      </c>
      <c r="U55" s="89">
        <f t="shared" si="5"/>
        <v>0.56007142389096387</v>
      </c>
      <c r="V55" s="89">
        <f t="shared" si="5"/>
        <v>0.54467356675278567</v>
      </c>
      <c r="W55" s="89">
        <f t="shared" si="5"/>
        <v>0.56699454902021329</v>
      </c>
      <c r="X55" s="89">
        <f t="shared" si="5"/>
        <v>0.58049710467505888</v>
      </c>
      <c r="Y55" s="89">
        <f t="shared" si="5"/>
        <v>0.57858763131875646</v>
      </c>
      <c r="Z55" s="89">
        <f t="shared" si="5"/>
        <v>0.57638648279435467</v>
      </c>
      <c r="AA55" s="89">
        <f t="shared" si="5"/>
        <v>0.6011896091353135</v>
      </c>
      <c r="AB55" s="89"/>
      <c r="AC55" s="89">
        <f>-HLOOKUP($A55,'[4]Provider Arm'!$C$919:$AF$949,ROW('[4]Provider Arm'!$A$922)-ROW('[4]Provider Arm'!$A$918),FALSE)/$K130</f>
        <v>0.14898795320686478</v>
      </c>
      <c r="AD55" s="89">
        <f>-HLOOKUP($A55,'[4]Provider Arm'!$C$919:$AF$949,ROW('[4]Provider Arm'!$A$923)-ROW('[4]Provider Arm'!$A$918),FALSE)/$K130</f>
        <v>0.27919376680700886</v>
      </c>
      <c r="AE55" s="89">
        <f t="shared" si="2"/>
        <v>0.15040591130488279</v>
      </c>
      <c r="AG55" s="89">
        <f>-HLOOKUP($A55,'[4]Provider Arm'!$C$1000:$AF$1030,ROW('[4]Provider Arm'!$A$1003)-ROW('[4]Provider Arm'!$A$999),FALSE)/$L130</f>
        <v>0.15541211390864973</v>
      </c>
      <c r="AH55" s="89">
        <f>-HLOOKUP($A55,'[4]Provider Arm'!$C$1000:$AF$1030,ROW('[4]Provider Arm'!$A$1004)-ROW('[4]Provider Arm'!$A$999),FALSE)/$L130</f>
        <v>0.27342151734963877</v>
      </c>
      <c r="AI55" s="89">
        <f t="shared" si="3"/>
        <v>0.14755285153606618</v>
      </c>
      <c r="AK55" s="89">
        <f>-HLOOKUP($A55,'[4]Provider Arm'!$C$1081:$AF$1111,ROW('[4]Provider Arm'!$A$1084)-ROW('[4]Provider Arm'!$A$1080),FALSE)/$M130</f>
        <v>0.15117337628609859</v>
      </c>
      <c r="AL55" s="89">
        <f>-HLOOKUP($A55,'[4]Provider Arm'!$C$1081:$AF$1111,ROW('[4]Provider Arm'!$A$1085)-ROW('[4]Provider Arm'!$A$1080),FALSE)/$M130</f>
        <v>0.2876894614548412</v>
      </c>
      <c r="AM55" s="89">
        <f t="shared" si="4"/>
        <v>0.16232677139437368</v>
      </c>
    </row>
    <row r="56" spans="1:39">
      <c r="A56" s="209" t="s">
        <v>240</v>
      </c>
      <c r="B56" s="47">
        <f>-HLOOKUP($A56,'[4]Provider Arm'!$C$8:$Y$58,ROW('[4]Provider Arm'!$A$18)-ROW('[4]Provider Arm'!A$7),FALSE)</f>
        <v>366512</v>
      </c>
      <c r="C56" s="47">
        <f>-HLOOKUP($A56,'[4]Provider Arm'!$C$140:$Y$190,ROW('[4]Provider Arm'!$A$150)-ROW('[4]Provider Arm'!B$139),FALSE)</f>
        <v>410008</v>
      </c>
      <c r="D56" s="47">
        <f>-HLOOKUP($A56,'[4]Provider Arm'!$C$268:$Y$318,ROW('[4]Provider Arm'!$A$278)-ROW('[4]Provider Arm'!C$267),FALSE)</f>
        <v>429882</v>
      </c>
      <c r="E56" s="47">
        <f>-HLOOKUP($A56,'[4]Provider Arm'!$C$394:$Y$444,ROW('[4]Provider Arm'!$A$404)-ROW('[4]Provider Arm'!D$393),FALSE)</f>
        <v>441640</v>
      </c>
      <c r="F56" s="47">
        <f>-HLOOKUP($A56,'[4]Provider Arm'!$C$516:$AE$546,ROW('[4]Provider Arm'!$A$524)-ROW('[4]Provider Arm'!E$515),FALSE)</f>
        <v>472055</v>
      </c>
      <c r="G56" s="47">
        <f>-HLOOKUP($A56,'[4]Provider Arm'!$C$596:$AE$626,ROW('[4]Provider Arm'!$A$604)-ROW('[4]Provider Arm'!F$595),FALSE)</f>
        <v>492225</v>
      </c>
      <c r="H56" s="47">
        <f>-HLOOKUP($A56,'[4]Provider Arm'!$C$676:$AE$706,ROW('[4]Provider Arm'!$A$684)-ROW('[4]Provider Arm'!G$675),FALSE)</f>
        <v>516974</v>
      </c>
      <c r="I56" s="47">
        <f>-HLOOKUP($A56,'[4]Provider Arm'!$C$757:$AF$787,ROW('[4]Provider Arm'!$A$765)-ROW('[4]Provider Arm'!H$756),FALSE)</f>
        <v>559707</v>
      </c>
      <c r="J56" s="47">
        <f>-HLOOKUP($A56,'[4]Provider Arm'!$C$838:$AF$868,ROW('[4]Provider Arm'!$A$846)-ROW('[4]Provider Arm'!I$837),FALSE)</f>
        <v>572664</v>
      </c>
      <c r="K56" s="47">
        <f>-HLOOKUP($A56,'[4]Provider Arm'!$C$919:$AF$949,ROW('[4]Provider Arm'!$A$927)-ROW('[4]Provider Arm'!$A$918),FALSE)</f>
        <v>593842</v>
      </c>
      <c r="L56" s="47">
        <f>-HLOOKUP($A56,'[4]Provider Arm'!$C$1000:$AF$1030,ROW('[4]Provider Arm'!$A$1008)-ROW('[4]Provider Arm'!$A$999),FALSE)</f>
        <v>631177</v>
      </c>
      <c r="M56" s="47">
        <f>-HLOOKUP($A56,'[4]Provider Arm'!$C$1081:$AF$1111,ROW('[4]Provider Arm'!$A$1089)-ROW('[4]Provider Arm'!$A$1080),FALSE)</f>
        <v>492628</v>
      </c>
      <c r="O56" s="209" t="s">
        <v>240</v>
      </c>
      <c r="P56" s="89">
        <f t="shared" si="5"/>
        <v>0.64888559981445848</v>
      </c>
      <c r="Q56" s="89">
        <f t="shared" si="5"/>
        <v>0.65313066500148143</v>
      </c>
      <c r="R56" s="89">
        <f t="shared" si="5"/>
        <v>0.66391760219801599</v>
      </c>
      <c r="S56" s="89">
        <f t="shared" si="5"/>
        <v>0.67106200835408691</v>
      </c>
      <c r="T56" s="89">
        <f t="shared" si="5"/>
        <v>0.66928631483132972</v>
      </c>
      <c r="U56" s="89">
        <f t="shared" si="5"/>
        <v>0.66985701279631371</v>
      </c>
      <c r="V56" s="89">
        <f t="shared" si="5"/>
        <v>0.66517156370785535</v>
      </c>
      <c r="W56" s="89">
        <f t="shared" si="5"/>
        <v>0.66224191582758496</v>
      </c>
      <c r="X56" s="89">
        <f t="shared" si="5"/>
        <v>0.66818740293638224</v>
      </c>
      <c r="Y56" s="89">
        <f t="shared" si="5"/>
        <v>0.67127945541812395</v>
      </c>
      <c r="Z56" s="89">
        <f t="shared" si="5"/>
        <v>0.66529253595103299</v>
      </c>
      <c r="AA56" s="89">
        <f t="shared" si="5"/>
        <v>0.67140869238118472</v>
      </c>
      <c r="AB56" s="89"/>
      <c r="AC56" s="89">
        <f>-HLOOKUP($A56,'[4]Provider Arm'!$C$919:$AF$949,ROW('[4]Provider Arm'!$A$922)-ROW('[4]Provider Arm'!$A$918),FALSE)/$K131</f>
        <v>0.19265307322057962</v>
      </c>
      <c r="AD56" s="89">
        <f>-HLOOKUP($A56,'[4]Provider Arm'!$C$919:$AF$949,ROW('[4]Provider Arm'!$A$923)-ROW('[4]Provider Arm'!$A$918),FALSE)/$K131</f>
        <v>0.26255931778052588</v>
      </c>
      <c r="AE56" s="89">
        <f t="shared" si="2"/>
        <v>0.21606706441701845</v>
      </c>
      <c r="AG56" s="89">
        <f>-HLOOKUP($A56,'[4]Provider Arm'!$C$1000:$AF$1030,ROW('[4]Provider Arm'!$A$1003)-ROW('[4]Provider Arm'!$A$999),FALSE)/$L131</f>
        <v>0.18876466316229956</v>
      </c>
      <c r="AH56" s="89">
        <f>-HLOOKUP($A56,'[4]Provider Arm'!$C$1000:$AF$1030,ROW('[4]Provider Arm'!$A$1004)-ROW('[4]Provider Arm'!$A$999),FALSE)/$L131</f>
        <v>0.26274531711641252</v>
      </c>
      <c r="AI56" s="89">
        <f t="shared" si="3"/>
        <v>0.21378255567232091</v>
      </c>
      <c r="AK56" s="89">
        <f>-HLOOKUP($A56,'[4]Provider Arm'!$C$1081:$AF$1111,ROW('[4]Provider Arm'!$A$1084)-ROW('[4]Provider Arm'!$A$1080),FALSE)/$M131</f>
        <v>0.19836368765869408</v>
      </c>
      <c r="AL56" s="89">
        <f>-HLOOKUP($A56,'[4]Provider Arm'!$C$1081:$AF$1111,ROW('[4]Provider Arm'!$A$1085)-ROW('[4]Provider Arm'!$A$1080),FALSE)/$M131</f>
        <v>0.25877885796138322</v>
      </c>
      <c r="AM56" s="89">
        <f t="shared" si="4"/>
        <v>0.21426614676110745</v>
      </c>
    </row>
    <row r="57" spans="1:39">
      <c r="A57" s="209" t="s">
        <v>241</v>
      </c>
      <c r="B57" s="47">
        <f>-HLOOKUP($A57,'[4]Provider Arm'!$C$8:$Y$58,ROW('[4]Provider Arm'!$A$18)-ROW('[4]Provider Arm'!A$7),FALSE)</f>
        <v>45129</v>
      </c>
      <c r="C57" s="47">
        <f>-HLOOKUP($A57,'[4]Provider Arm'!$C$140:$Y$190,ROW('[4]Provider Arm'!$A$150)-ROW('[4]Provider Arm'!B$139),FALSE)</f>
        <v>46782</v>
      </c>
      <c r="D57" s="47">
        <f>-HLOOKUP($A57,'[4]Provider Arm'!$C$268:$Y$318,ROW('[4]Provider Arm'!$A$278)-ROW('[4]Provider Arm'!C$267),FALSE)</f>
        <v>50836.168000000005</v>
      </c>
      <c r="E57" s="47">
        <f>-HLOOKUP($A57,'[4]Provider Arm'!$C$394:$Y$444,ROW('[4]Provider Arm'!$A$404)-ROW('[4]Provider Arm'!D$393),FALSE)</f>
        <v>51644</v>
      </c>
      <c r="F57" s="47">
        <f>-HLOOKUP($A57,'[4]Provider Arm'!$C$516:$AE$546,ROW('[4]Provider Arm'!$A$524)-ROW('[4]Provider Arm'!E$515),FALSE)</f>
        <v>52934</v>
      </c>
      <c r="G57" s="47">
        <f>-HLOOKUP($A57,'[4]Provider Arm'!$C$596:$AE$626,ROW('[4]Provider Arm'!$A$604)-ROW('[4]Provider Arm'!F$595),FALSE)</f>
        <v>55156.962999999996</v>
      </c>
      <c r="H57" s="47">
        <f>-HLOOKUP($A57,'[4]Provider Arm'!$C$676:$AE$706,ROW('[4]Provider Arm'!$A$684)-ROW('[4]Provider Arm'!G$675),FALSE)</f>
        <v>54879</v>
      </c>
      <c r="I57" s="47">
        <f>-HLOOKUP($A57,'[4]Provider Arm'!$C$757:$AF$787,ROW('[4]Provider Arm'!$A$765)-ROW('[4]Provider Arm'!H$756),FALSE)</f>
        <v>56555</v>
      </c>
      <c r="J57" s="47">
        <f>-HLOOKUP($A57,'[4]Provider Arm'!$C$838:$AF$868,ROW('[4]Provider Arm'!$A$846)-ROW('[4]Provider Arm'!I$837),FALSE)</f>
        <v>55741</v>
      </c>
      <c r="K57" s="47">
        <f>-HLOOKUP($A57,'[4]Provider Arm'!$C$919:$AF$949,ROW('[4]Provider Arm'!$A$927)-ROW('[4]Provider Arm'!$A$918),FALSE)</f>
        <v>56488.818019999992</v>
      </c>
      <c r="L57" s="47">
        <f>-HLOOKUP($A57,'[4]Provider Arm'!$C$1000:$AF$1030,ROW('[4]Provider Arm'!$A$1008)-ROW('[4]Provider Arm'!$A$999),FALSE)</f>
        <v>58965.384000000005</v>
      </c>
      <c r="M57" s="47">
        <f>-HLOOKUP($A57,'[4]Provider Arm'!$C$1081:$AF$1111,ROW('[4]Provider Arm'!$A$1089)-ROW('[4]Provider Arm'!$A$1080),FALSE)</f>
        <v>45859</v>
      </c>
      <c r="O57" s="209" t="s">
        <v>241</v>
      </c>
      <c r="P57" s="89">
        <f t="shared" si="5"/>
        <v>0.57759205457361162</v>
      </c>
      <c r="Q57" s="89">
        <f t="shared" si="5"/>
        <v>0.55616054020638162</v>
      </c>
      <c r="R57" s="89">
        <f t="shared" si="5"/>
        <v>0.57541366804196825</v>
      </c>
      <c r="S57" s="89">
        <f t="shared" si="5"/>
        <v>0.57236586906648634</v>
      </c>
      <c r="T57" s="89">
        <f t="shared" si="5"/>
        <v>0.58035303146584805</v>
      </c>
      <c r="U57" s="89">
        <f t="shared" si="5"/>
        <v>0.60145984610285641</v>
      </c>
      <c r="V57" s="89">
        <f t="shared" si="5"/>
        <v>0.6197935489700036</v>
      </c>
      <c r="W57" s="89">
        <f t="shared" si="5"/>
        <v>0.62813065739640372</v>
      </c>
      <c r="X57" s="89">
        <f t="shared" si="5"/>
        <v>0.62886830556088313</v>
      </c>
      <c r="Y57" s="89">
        <f t="shared" si="5"/>
        <v>0.63016462004521279</v>
      </c>
      <c r="Z57" s="89">
        <f t="shared" si="5"/>
        <v>0.63673493135536763</v>
      </c>
      <c r="AA57" s="89">
        <f t="shared" si="5"/>
        <v>0.65540009432479174</v>
      </c>
      <c r="AB57" s="89"/>
      <c r="AC57" s="89">
        <f>-HLOOKUP($A57,'[4]Provider Arm'!$C$919:$AF$949,ROW('[4]Provider Arm'!$A$922)-ROW('[4]Provider Arm'!$A$918),FALSE)/$K132</f>
        <v>0.12031366625163184</v>
      </c>
      <c r="AD57" s="89">
        <f>-HLOOKUP($A57,'[4]Provider Arm'!$C$919:$AF$949,ROW('[4]Provider Arm'!$A$923)-ROW('[4]Provider Arm'!$A$918),FALSE)/$K132</f>
        <v>0.30777936673428291</v>
      </c>
      <c r="AE57" s="89">
        <f t="shared" si="2"/>
        <v>0.20207158705929806</v>
      </c>
      <c r="AG57" s="89">
        <f>-HLOOKUP($A57,'[4]Provider Arm'!$C$1000:$AF$1030,ROW('[4]Provider Arm'!$A$1003)-ROW('[4]Provider Arm'!$A$999),FALSE)/$L132</f>
        <v>0.11995140868897741</v>
      </c>
      <c r="AH57" s="89">
        <f>-HLOOKUP($A57,'[4]Provider Arm'!$C$1000:$AF$1030,ROW('[4]Provider Arm'!$A$1004)-ROW('[4]Provider Arm'!$A$999),FALSE)/$L132</f>
        <v>0.31542930378582856</v>
      </c>
      <c r="AI57" s="89">
        <f t="shared" si="3"/>
        <v>0.20135421888056165</v>
      </c>
      <c r="AK57" s="89">
        <f>-HLOOKUP($A57,'[4]Provider Arm'!$C$1081:$AF$1111,ROW('[4]Provider Arm'!$A$1084)-ROW('[4]Provider Arm'!$A$1080),FALSE)/$M132</f>
        <v>0.12625230452616085</v>
      </c>
      <c r="AL57" s="89">
        <f>-HLOOKUP($A57,'[4]Provider Arm'!$C$1081:$AF$1111,ROW('[4]Provider Arm'!$A$1085)-ROW('[4]Provider Arm'!$A$1080),FALSE)/$M132</f>
        <v>0.32210487201840765</v>
      </c>
      <c r="AM57" s="89">
        <f t="shared" si="4"/>
        <v>0.20704291778022321</v>
      </c>
    </row>
    <row r="58" spans="1:39">
      <c r="A58" s="210" t="s">
        <v>242</v>
      </c>
      <c r="B58" s="217">
        <f>-HLOOKUP($A58,'[4]Provider Arm'!$C$8:$Y$58,ROW('[4]Provider Arm'!$A$18)-ROW('[4]Provider Arm'!A$7),FALSE)</f>
        <v>57533</v>
      </c>
      <c r="C58" s="217">
        <f>-HLOOKUP($A58,'[4]Provider Arm'!$C$140:$Y$190,ROW('[4]Provider Arm'!$A$150)-ROW('[4]Provider Arm'!B$139),FALSE)</f>
        <v>61583</v>
      </c>
      <c r="D58" s="217">
        <f>-HLOOKUP($A58,'[4]Provider Arm'!$C$268:$Y$318,ROW('[4]Provider Arm'!$A$278)-ROW('[4]Provider Arm'!C$267),FALSE)</f>
        <v>62323</v>
      </c>
      <c r="E58" s="217">
        <f>-HLOOKUP($A58,'[4]Provider Arm'!$C$394:$Y$444,ROW('[4]Provider Arm'!$A$404)-ROW('[4]Provider Arm'!D$393),FALSE)</f>
        <v>63655</v>
      </c>
      <c r="F58" s="217">
        <f>-HLOOKUP($A58,'[4]Provider Arm'!$C$516:$AE$546,ROW('[4]Provider Arm'!$A$524)-ROW('[4]Provider Arm'!E$515),FALSE)</f>
        <v>64964</v>
      </c>
      <c r="G58" s="217">
        <f>-HLOOKUP($A58,'[4]Provider Arm'!$C$596:$AE$626,ROW('[4]Provider Arm'!$A$604)-ROW('[4]Provider Arm'!F$595),FALSE)</f>
        <v>67840</v>
      </c>
      <c r="H58" s="217">
        <f>-HLOOKUP($A58,'[4]Provider Arm'!$C$676:$AE$706,ROW('[4]Provider Arm'!$A$684)-ROW('[4]Provider Arm'!G$675),FALSE)</f>
        <v>69096</v>
      </c>
      <c r="I58" s="217">
        <f>-HLOOKUP($A58,'[4]Provider Arm'!$C$757:$AF$787,ROW('[4]Provider Arm'!$A$765)-ROW('[4]Provider Arm'!H$756),FALSE)</f>
        <v>70771</v>
      </c>
      <c r="J58" s="217">
        <f>-HLOOKUP($A58,'[4]Provider Arm'!$C$838:$AF$868,ROW('[4]Provider Arm'!$A$846)-ROW('[4]Provider Arm'!I$837),FALSE)</f>
        <v>73118</v>
      </c>
      <c r="K58" s="217">
        <f>-HLOOKUP($A58,'[4]Provider Arm'!$C$919:$AF$949,ROW('[4]Provider Arm'!$A$927)-ROW('[4]Provider Arm'!$A$918),FALSE)</f>
        <v>76203</v>
      </c>
      <c r="L58" s="217">
        <f>-HLOOKUP($A58,'[4]Provider Arm'!$C$1000:$AF$1030,ROW('[4]Provider Arm'!$A$1008)-ROW('[4]Provider Arm'!$A$999),FALSE)</f>
        <v>81534</v>
      </c>
      <c r="M58" s="217">
        <f>-HLOOKUP($A58,'[4]Provider Arm'!$C$1081:$AF$1111,ROW('[4]Provider Arm'!$A$1089)-ROW('[4]Provider Arm'!$A$1080),FALSE)</f>
        <v>65277</v>
      </c>
      <c r="O58" s="210" t="s">
        <v>242</v>
      </c>
      <c r="P58" s="211">
        <f t="shared" si="5"/>
        <v>0.57633859253693964</v>
      </c>
      <c r="Q58" s="211">
        <f t="shared" si="5"/>
        <v>0.56744927482815177</v>
      </c>
      <c r="R58" s="211">
        <f t="shared" si="5"/>
        <v>0.56879101222038675</v>
      </c>
      <c r="S58" s="211">
        <f t="shared" si="5"/>
        <v>0.57254002518438563</v>
      </c>
      <c r="T58" s="211">
        <f t="shared" si="5"/>
        <v>0.57071572270686732</v>
      </c>
      <c r="U58" s="211">
        <f t="shared" si="5"/>
        <v>0.58438426021638756</v>
      </c>
      <c r="V58" s="211">
        <f t="shared" si="5"/>
        <v>0.58522703210888738</v>
      </c>
      <c r="W58" s="211">
        <f t="shared" si="5"/>
        <v>0.59371146215216319</v>
      </c>
      <c r="X58" s="211">
        <f t="shared" si="5"/>
        <v>0.60319424507911368</v>
      </c>
      <c r="Y58" s="211">
        <f t="shared" si="5"/>
        <v>0.61489239806663498</v>
      </c>
      <c r="Z58" s="211">
        <f t="shared" si="5"/>
        <v>0.61249417809762763</v>
      </c>
      <c r="AA58" s="211">
        <f t="shared" si="5"/>
        <v>0.61597184214996126</v>
      </c>
      <c r="AB58" s="211"/>
      <c r="AC58" s="211">
        <f>-HLOOKUP($A58,'[4]Provider Arm'!$C$919:$AF$949,ROW('[4]Provider Arm'!$A$922)-ROW('[4]Provider Arm'!$A$918),FALSE)/$K133</f>
        <v>0.16996828829410388</v>
      </c>
      <c r="AD58" s="211">
        <f>-HLOOKUP($A58,'[4]Provider Arm'!$C$919:$AF$949,ROW('[4]Provider Arm'!$A$923)-ROW('[4]Provider Arm'!$A$918),FALSE)/$K133</f>
        <v>0.2731806114791534</v>
      </c>
      <c r="AE58" s="211">
        <f t="shared" si="2"/>
        <v>0.17174349829337771</v>
      </c>
      <c r="AG58" s="211">
        <f>-HLOOKUP($A58,'[4]Provider Arm'!$C$1000:$AF$1030,ROW('[4]Provider Arm'!$A$1003)-ROW('[4]Provider Arm'!$A$999),FALSE)/$L133</f>
        <v>0.16601811926260912</v>
      </c>
      <c r="AH58" s="211">
        <f>-HLOOKUP($A58,'[4]Provider Arm'!$C$1000:$AF$1030,ROW('[4]Provider Arm'!$A$1004)-ROW('[4]Provider Arm'!$A$999),FALSE)/$L133</f>
        <v>0.27816673928394359</v>
      </c>
      <c r="AI58" s="211">
        <f t="shared" si="3"/>
        <v>0.16830931955107492</v>
      </c>
      <c r="AK58" s="211">
        <f>-HLOOKUP($A58,'[4]Provider Arm'!$C$1081:$AF$1111,ROW('[4]Provider Arm'!$A$1084)-ROW('[4]Provider Arm'!$A$1080),FALSE)/$M133</f>
        <v>0.1650216090739238</v>
      </c>
      <c r="AL58" s="211">
        <f>-HLOOKUP($A58,'[4]Provider Arm'!$C$1081:$AF$1111,ROW('[4]Provider Arm'!$A$1085)-ROW('[4]Provider Arm'!$A$1080),FALSE)/$M133</f>
        <v>0.28182384358427537</v>
      </c>
      <c r="AM58" s="211">
        <f t="shared" si="4"/>
        <v>0.16912638949176206</v>
      </c>
    </row>
    <row r="59" spans="1:39">
      <c r="A59" s="213" t="s">
        <v>243</v>
      </c>
      <c r="B59" s="47">
        <f>-HLOOKUP($A59,'[4]Provider Arm'!$C$8:$Y$58,ROW('[4]Provider Arm'!$A$18)-ROW('[4]Provider Arm'!A$7),FALSE)</f>
        <v>3834454.7896000003</v>
      </c>
      <c r="C59" s="47">
        <f>-HLOOKUP($A59,'[4]Provider Arm'!$C$140:$Y$190,ROW('[4]Provider Arm'!$A$150)-ROW('[4]Provider Arm'!B$139),FALSE)</f>
        <v>4202909.9386</v>
      </c>
      <c r="D59" s="47">
        <f>-HLOOKUP($A59,'[4]Provider Arm'!$C$268:$Y$318,ROW('[4]Provider Arm'!$A$278)-ROW('[4]Provider Arm'!C$267),FALSE)</f>
        <v>4573354.0460000001</v>
      </c>
      <c r="E59" s="47">
        <f>-HLOOKUP($A59,'[4]Provider Arm'!$C$394:$Y$444,ROW('[4]Provider Arm'!$A$404)-ROW('[4]Provider Arm'!D$393),FALSE)</f>
        <v>4616012.6153999995</v>
      </c>
      <c r="F59" s="47">
        <f>-HLOOKUP($A59,'[4]Provider Arm'!$C$516:$AE$546,ROW('[4]Provider Arm'!$A$524)-ROW('[4]Provider Arm'!E$515),FALSE)</f>
        <v>4842894.9570699995</v>
      </c>
      <c r="G59" s="47">
        <f>-HLOOKUP($A59,'[4]Provider Arm'!$C$596:$AE$626,ROW('[4]Provider Arm'!$A$604)-ROW('[4]Provider Arm'!F$595),FALSE)</f>
        <v>5013210.7158199996</v>
      </c>
      <c r="H59" s="47">
        <f>-HLOOKUP($A59,'[4]Provider Arm'!$C$676:$AE$706,ROW('[4]Provider Arm'!$A$684)-ROW('[4]Provider Arm'!G$675),FALSE)</f>
        <v>5211205.6248589996</v>
      </c>
      <c r="I59" s="47">
        <f>-HLOOKUP($A59,'[4]Provider Arm'!$C$757:$AF$787,ROW('[4]Provider Arm'!$A$765)-ROW('[4]Provider Arm'!H$756),FALSE)</f>
        <v>5411446.8187600002</v>
      </c>
      <c r="J59" s="47">
        <f>-HLOOKUP($A59,'[4]Provider Arm'!$C$838:$AF$868,ROW('[4]Provider Arm'!$A$846)-ROW('[4]Provider Arm'!I$837),FALSE)</f>
        <v>5617662.5283400007</v>
      </c>
      <c r="K59" s="47">
        <f>-HLOOKUP($A59,'[4]Provider Arm'!$C$919:$AF$949,ROW('[4]Provider Arm'!$A$927)-ROW('[4]Provider Arm'!$A$918),FALSE)</f>
        <v>5838583.6478300001</v>
      </c>
      <c r="L59" s="47">
        <f>-HLOOKUP($A59,'[4]Provider Arm'!$C$1000:$AF$1030,ROW('[4]Provider Arm'!$A$1008)-ROW('[4]Provider Arm'!$A$999),FALSE)</f>
        <v>6186915.3557899985</v>
      </c>
      <c r="M59" s="47">
        <f>-HLOOKUP($A59,'[4]Provider Arm'!$C$1081:$AF$1111,ROW('[4]Provider Arm'!$A$1089)-ROW('[4]Provider Arm'!$A$1080),FALSE)</f>
        <v>4946340.9168400001</v>
      </c>
      <c r="O59" s="213" t="s">
        <v>243</v>
      </c>
      <c r="P59" s="89">
        <f t="shared" si="5"/>
        <v>0.61164001186400363</v>
      </c>
      <c r="Q59" s="89">
        <f t="shared" si="5"/>
        <v>0.61206546904337256</v>
      </c>
      <c r="R59" s="89">
        <f t="shared" si="5"/>
        <v>0.63453388229387275</v>
      </c>
      <c r="S59" s="89">
        <f t="shared" si="5"/>
        <v>0.60866039501721747</v>
      </c>
      <c r="T59" s="89">
        <f t="shared" si="5"/>
        <v>0.62170194808373413</v>
      </c>
      <c r="U59" s="89">
        <f t="shared" si="5"/>
        <v>0.62541796308817776</v>
      </c>
      <c r="V59" s="89">
        <f t="shared" si="5"/>
        <v>0.62770278264325929</v>
      </c>
      <c r="W59" s="89">
        <f t="shared" si="5"/>
        <v>0.62516534441323957</v>
      </c>
      <c r="X59" s="89">
        <f t="shared" si="5"/>
        <v>0.63072267959798567</v>
      </c>
      <c r="Y59" s="89">
        <f t="shared" si="5"/>
        <v>0.63188136020244245</v>
      </c>
      <c r="Z59" s="89">
        <f t="shared" si="5"/>
        <v>0.62748888853510276</v>
      </c>
      <c r="AA59" s="89">
        <f t="shared" si="5"/>
        <v>0.63347109938329471</v>
      </c>
      <c r="AB59" s="89"/>
      <c r="AC59" s="89">
        <f>-HLOOKUP($A59,'[4]Provider Arm'!$C$919:$AF$949,ROW('[4]Provider Arm'!$A$922)-ROW('[4]Provider Arm'!$A$918),FALSE)/$K134</f>
        <v>0.19907177724072886</v>
      </c>
      <c r="AD59" s="89">
        <f>-HLOOKUP($A59,'[4]Provider Arm'!$C$919:$AF$949,ROW('[4]Provider Arm'!$A$923)-ROW('[4]Provider Arm'!$A$918),FALSE)/$K134</f>
        <v>0.242533997489016</v>
      </c>
      <c r="AE59" s="89">
        <f t="shared" si="2"/>
        <v>0.19027558547269763</v>
      </c>
      <c r="AG59" s="89">
        <f>-HLOOKUP($A59,'[4]Provider Arm'!$C$1000:$AF$1030,ROW('[4]Provider Arm'!$A$1003)-ROW('[4]Provider Arm'!$A$999),FALSE)/$L134</f>
        <v>0.19529329823555641</v>
      </c>
      <c r="AH59" s="89">
        <f>-HLOOKUP($A59,'[4]Provider Arm'!$C$1000:$AF$1030,ROW('[4]Provider Arm'!$A$1004)-ROW('[4]Provider Arm'!$A$999),FALSE)/$L134</f>
        <v>0.243106503588601</v>
      </c>
      <c r="AI59" s="89">
        <f t="shared" si="3"/>
        <v>0.18908908671094538</v>
      </c>
      <c r="AK59" s="89">
        <f>-HLOOKUP($A59,'[4]Provider Arm'!$C$1081:$AF$1111,ROW('[4]Provider Arm'!$A$1084)-ROW('[4]Provider Arm'!$A$1080),FALSE)/$M134</f>
        <v>0.199282790948004</v>
      </c>
      <c r="AL59" s="89">
        <f>-HLOOKUP($A59,'[4]Provider Arm'!$C$1081:$AF$1111,ROW('[4]Provider Arm'!$A$1085)-ROW('[4]Provider Arm'!$A$1080),FALSE)/$M134</f>
        <v>0.24456291378419542</v>
      </c>
      <c r="AM59" s="89">
        <f t="shared" si="4"/>
        <v>0.18962539465109529</v>
      </c>
    </row>
    <row r="60" spans="1:39">
      <c r="C60" s="153"/>
      <c r="D60" s="153"/>
      <c r="E60" s="153"/>
      <c r="F60" s="153"/>
      <c r="G60" s="153"/>
      <c r="H60" s="153"/>
      <c r="I60" s="153"/>
      <c r="J60" s="153"/>
      <c r="K60" s="153"/>
      <c r="L60" s="47"/>
      <c r="M60" s="47"/>
      <c r="N60" s="47"/>
      <c r="S60" s="89"/>
    </row>
    <row r="61" spans="1:39">
      <c r="A61" s="204" t="s">
        <v>253</v>
      </c>
      <c r="K61" s="9"/>
      <c r="L61" s="218"/>
      <c r="M61" s="212"/>
      <c r="N61" s="89"/>
      <c r="O61" s="204" t="s">
        <v>254</v>
      </c>
      <c r="Y61" s="9"/>
    </row>
    <row r="62" spans="1:39">
      <c r="A62" s="209" t="s">
        <v>221</v>
      </c>
      <c r="B62" s="47">
        <f>-HLOOKUP($A62,'[4]Provider Arm'!$C$8:$Y$58,ROW('[4]Provider Arm'!$A$26)-ROW('[4]Provider Arm'!A$7),FALSE)</f>
        <v>39649.58</v>
      </c>
      <c r="C62" s="47">
        <f>-HLOOKUP($A62,'[4]Provider Arm'!$C$140:$Y$190,ROW('[4]Provider Arm'!$A$158)-ROW('[4]Provider Arm'!B$139),FALSE)</f>
        <v>44063.06</v>
      </c>
      <c r="D62" s="47">
        <f>-HLOOKUP($A62,'[4]Provider Arm'!$C$268:$Y$318,ROW('[4]Provider Arm'!$A$286)-ROW('[4]Provider Arm'!C$267),FALSE)</f>
        <v>38838.328999999998</v>
      </c>
      <c r="E62" s="47">
        <f>-HLOOKUP($A62,'[4]Provider Arm'!$C$394:$Y$444,ROW('[4]Provider Arm'!$A$412)-ROW('[4]Provider Arm'!D$393),FALSE)</f>
        <v>53803.278999999995</v>
      </c>
      <c r="F62" s="47">
        <f>-HLOOKUP($A62,'[4]Provider Arm'!$C$516:$AE$546,ROW('[4]Provider Arm'!$A$526)-ROW('[4]Provider Arm'!E$515),FALSE)</f>
        <v>88313.49</v>
      </c>
      <c r="G62" s="47">
        <f>-HLOOKUP($A62,'[4]Provider Arm'!$C$596:$AE$626,ROW('[4]Provider Arm'!$A$606)-ROW('[4]Provider Arm'!F$595),FALSE)</f>
        <v>87522.723999999987</v>
      </c>
      <c r="H62" s="47">
        <f>-HLOOKUP($A62,'[4]Provider Arm'!$C$676:$AE$706,ROW('[4]Provider Arm'!$A$686)-ROW('[4]Provider Arm'!G$675),FALSE)</f>
        <v>84765.995999999999</v>
      </c>
      <c r="I62" s="47">
        <f>-HLOOKUP($A62,'[4]Provider Arm'!$C$757:$AF$787,ROW('[4]Provider Arm'!$A$767)-ROW('[4]Provider Arm'!H$756),FALSE)</f>
        <v>93592.483999999997</v>
      </c>
      <c r="J62" s="47">
        <f>-HLOOKUP($A62,'[4]Provider Arm'!$C$838:$AF$868,ROW('[4]Provider Arm'!$A$848)-ROW('[4]Provider Arm'!I$837),FALSE)</f>
        <v>97713.678</v>
      </c>
      <c r="K62" s="47">
        <f>-HLOOKUP($A62,'[4]Provider Arm'!$C$919:$AF$949,ROW('[4]Provider Arm'!$A$929)-ROW('[4]Provider Arm'!$A$918),FALSE)</f>
        <v>102671.53099999999</v>
      </c>
      <c r="L62" s="47">
        <f>-HLOOKUP($A62,'[4]Provider Arm'!$C$1000:$AF$1030,ROW('[4]Provider Arm'!$A$1010)-ROW('[4]Provider Arm'!$A$999),FALSE)</f>
        <v>115214.893</v>
      </c>
      <c r="M62" s="47">
        <f>-HLOOKUP($A62,'[4]Provider Arm'!$C$1081:$AF$1111,ROW('[4]Provider Arm'!$A$1091)-ROW('[4]Provider Arm'!$A$1080),FALSE)</f>
        <v>95574.911000000007</v>
      </c>
      <c r="O62" s="209" t="s">
        <v>221</v>
      </c>
      <c r="P62" s="89">
        <f>B62/B112</f>
        <v>3.8661306665617665E-2</v>
      </c>
      <c r="Q62" s="89">
        <f t="shared" ref="Q62:AA77" si="6">C62/C112</f>
        <v>3.9967870132099209E-2</v>
      </c>
      <c r="R62" s="89">
        <f t="shared" si="6"/>
        <v>3.3798153150296967E-2</v>
      </c>
      <c r="S62" s="89">
        <f t="shared" si="6"/>
        <v>4.488293981776386E-2</v>
      </c>
      <c r="T62" s="89">
        <f t="shared" si="6"/>
        <v>7.1517625323214373E-2</v>
      </c>
      <c r="U62" s="89">
        <f t="shared" si="6"/>
        <v>6.9444740367530955E-2</v>
      </c>
      <c r="V62" s="89">
        <f t="shared" si="6"/>
        <v>6.5114992840039063E-2</v>
      </c>
      <c r="W62" s="89">
        <f t="shared" si="6"/>
        <v>6.9592909601827638E-2</v>
      </c>
      <c r="X62" s="89">
        <f t="shared" si="6"/>
        <v>6.9731876312587968E-2</v>
      </c>
      <c r="Y62" s="89">
        <f t="shared" si="6"/>
        <v>6.943449035657058E-2</v>
      </c>
      <c r="Z62" s="89">
        <f t="shared" si="6"/>
        <v>7.3708345939755032E-2</v>
      </c>
      <c r="AA62" s="89">
        <f t="shared" si="6"/>
        <v>7.7141775138011098E-2</v>
      </c>
      <c r="AB62" s="89"/>
    </row>
    <row r="63" spans="1:39">
      <c r="A63" s="209" t="s">
        <v>222</v>
      </c>
      <c r="B63" s="47">
        <f>-HLOOKUP($A63,'[4]Provider Arm'!$C$8:$Y$58,ROW('[4]Provider Arm'!$A$26)-ROW('[4]Provider Arm'!A$7),FALSE)</f>
        <v>26895</v>
      </c>
      <c r="C63" s="47">
        <f>-HLOOKUP($A63,'[4]Provider Arm'!$C$140:$Y$190,ROW('[4]Provider Arm'!$A$158)-ROW('[4]Provider Arm'!B$139),FALSE)</f>
        <v>26035</v>
      </c>
      <c r="D63" s="47">
        <f>-HLOOKUP($A63,'[4]Provider Arm'!$C$268:$Y$318,ROW('[4]Provider Arm'!$A$286)-ROW('[4]Provider Arm'!C$267),FALSE)</f>
        <v>24694</v>
      </c>
      <c r="E63" s="47">
        <f>-HLOOKUP($A63,'[4]Provider Arm'!$C$394:$Y$444,ROW('[4]Provider Arm'!$A$412)-ROW('[4]Provider Arm'!D$393),FALSE)</f>
        <v>23527</v>
      </c>
      <c r="F63" s="47">
        <f>-HLOOKUP($A63,'[4]Provider Arm'!$C$516:$AE$546,ROW('[4]Provider Arm'!$A$526)-ROW('[4]Provider Arm'!E$515),FALSE)</f>
        <v>22228</v>
      </c>
      <c r="G63" s="47">
        <f>-HLOOKUP($A63,'[4]Provider Arm'!$C$596:$AE$626,ROW('[4]Provider Arm'!$A$606)-ROW('[4]Provider Arm'!F$595),FALSE)</f>
        <v>21862</v>
      </c>
      <c r="H63" s="47">
        <f>-HLOOKUP($A63,'[4]Provider Arm'!$C$676:$AE$706,ROW('[4]Provider Arm'!$A$686)-ROW('[4]Provider Arm'!G$675),FALSE)</f>
        <v>23476</v>
      </c>
      <c r="I63" s="47">
        <f>-HLOOKUP($A63,'[4]Provider Arm'!$C$757:$AF$787,ROW('[4]Provider Arm'!$A$767)-ROW('[4]Provider Arm'!H$756),FALSE)</f>
        <v>29638</v>
      </c>
      <c r="J63" s="47">
        <f>-HLOOKUP($A63,'[4]Provider Arm'!$C$838:$AF$868,ROW('[4]Provider Arm'!$A$848)-ROW('[4]Provider Arm'!I$837),FALSE)</f>
        <v>31428.972359999996</v>
      </c>
      <c r="K63" s="47">
        <f>-HLOOKUP($A63,'[4]Provider Arm'!$C$919:$AF$949,ROW('[4]Provider Arm'!$A$929)-ROW('[4]Provider Arm'!$A$918),FALSE)</f>
        <v>31642.069279999996</v>
      </c>
      <c r="L63" s="47">
        <f>-HLOOKUP($A63,'[4]Provider Arm'!$C$1000:$AF$1030,ROW('[4]Provider Arm'!$A$1010)-ROW('[4]Provider Arm'!$A$999),FALSE)</f>
        <v>38668.429700000001</v>
      </c>
      <c r="M63" s="47">
        <f>-HLOOKUP($A63,'[4]Provider Arm'!$C$1081:$AF$1111,ROW('[4]Provider Arm'!$A$1091)-ROW('[4]Provider Arm'!$A$1080),FALSE)</f>
        <v>30875.246419999999</v>
      </c>
      <c r="O63" s="209" t="s">
        <v>222</v>
      </c>
      <c r="P63" s="89">
        <f t="shared" ref="P63:AA84" si="7">B63/B113</f>
        <v>0.10374356303882427</v>
      </c>
      <c r="Q63" s="89">
        <f t="shared" si="6"/>
        <v>9.0452383516716403E-2</v>
      </c>
      <c r="R63" s="89">
        <f t="shared" si="6"/>
        <v>8.1966070415008419E-2</v>
      </c>
      <c r="S63" s="89">
        <f t="shared" si="6"/>
        <v>7.6443448029372585E-2</v>
      </c>
      <c r="T63" s="89">
        <f t="shared" si="6"/>
        <v>6.841721326360696E-2</v>
      </c>
      <c r="U63" s="89">
        <f t="shared" si="6"/>
        <v>6.4622733533943044E-2</v>
      </c>
      <c r="V63" s="89">
        <f t="shared" si="6"/>
        <v>6.905558921984481E-2</v>
      </c>
      <c r="W63" s="89">
        <f t="shared" si="6"/>
        <v>8.2069259610006259E-2</v>
      </c>
      <c r="X63" s="89">
        <f t="shared" si="6"/>
        <v>8.296592315311492E-2</v>
      </c>
      <c r="Y63" s="89">
        <f t="shared" si="6"/>
        <v>8.0688453465435406E-2</v>
      </c>
      <c r="Z63" s="89">
        <f t="shared" si="6"/>
        <v>9.0737597501188122E-2</v>
      </c>
      <c r="AA63" s="89">
        <f t="shared" si="6"/>
        <v>9.1752516442142884E-2</v>
      </c>
      <c r="AB63" s="89"/>
    </row>
    <row r="64" spans="1:39">
      <c r="A64" s="209" t="s">
        <v>223</v>
      </c>
      <c r="B64" s="47">
        <f>-HLOOKUP($A64,'[4]Provider Arm'!$C$8:$Y$58,ROW('[4]Provider Arm'!$A$26)-ROW('[4]Provider Arm'!A$7),FALSE)</f>
        <v>21463</v>
      </c>
      <c r="C64" s="47">
        <f>-HLOOKUP($A64,'[4]Provider Arm'!$C$140:$Y$190,ROW('[4]Provider Arm'!$A$158)-ROW('[4]Provider Arm'!B$139),FALSE)</f>
        <v>21064</v>
      </c>
      <c r="D64" s="47">
        <f>-HLOOKUP($A64,'[4]Provider Arm'!$C$268:$Y$318,ROW('[4]Provider Arm'!$A$286)-ROW('[4]Provider Arm'!C$267),FALSE)</f>
        <v>18788</v>
      </c>
      <c r="E64" s="47">
        <f>-HLOOKUP($A64,'[4]Provider Arm'!$C$394:$Y$444,ROW('[4]Provider Arm'!$A$412)-ROW('[4]Provider Arm'!D$393),FALSE)</f>
        <v>19801</v>
      </c>
      <c r="F64" s="47">
        <f>-HLOOKUP($A64,'[4]Provider Arm'!$C$516:$AE$546,ROW('[4]Provider Arm'!$A$526)-ROW('[4]Provider Arm'!E$515),FALSE)</f>
        <v>29527</v>
      </c>
      <c r="G64" s="47">
        <f>-HLOOKUP($A64,'[4]Provider Arm'!$C$596:$AE$626,ROW('[4]Provider Arm'!$A$606)-ROW('[4]Provider Arm'!F$595),FALSE)</f>
        <v>19420</v>
      </c>
      <c r="H64" s="47">
        <f>-HLOOKUP($A64,'[4]Provider Arm'!$C$676:$AE$706,ROW('[4]Provider Arm'!$A$686)-ROW('[4]Provider Arm'!G$675),FALSE)</f>
        <v>20083</v>
      </c>
      <c r="I64" s="47">
        <f>-HLOOKUP($A64,'[4]Provider Arm'!$C$757:$AF$787,ROW('[4]Provider Arm'!$A$767)-ROW('[4]Provider Arm'!H$756),FALSE)</f>
        <v>19750</v>
      </c>
      <c r="J64" s="47">
        <f>-HLOOKUP($A64,'[4]Provider Arm'!$C$838:$AF$868,ROW('[4]Provider Arm'!$A$848)-ROW('[4]Provider Arm'!I$837),FALSE)</f>
        <v>24800</v>
      </c>
      <c r="K64" s="47">
        <f>-HLOOKUP($A64,'[4]Provider Arm'!$C$919:$AF$949,ROW('[4]Provider Arm'!$A$929)-ROW('[4]Provider Arm'!$A$918),FALSE)</f>
        <v>24987</v>
      </c>
      <c r="L64" s="47">
        <f>-HLOOKUP($A64,'[4]Provider Arm'!$C$1000:$AF$1030,ROW('[4]Provider Arm'!$A$1010)-ROW('[4]Provider Arm'!$A$999),FALSE)</f>
        <v>27359</v>
      </c>
      <c r="M64" s="47">
        <f>-HLOOKUP($A64,'[4]Provider Arm'!$C$1081:$AF$1111,ROW('[4]Provider Arm'!$A$1091)-ROW('[4]Provider Arm'!$A$1080),FALSE)</f>
        <v>20785</v>
      </c>
      <c r="O64" s="209" t="s">
        <v>223</v>
      </c>
      <c r="P64" s="89">
        <f t="shared" si="7"/>
        <v>3.0101244412904422E-2</v>
      </c>
      <c r="Q64" s="89">
        <f t="shared" si="6"/>
        <v>2.7532373150969267E-2</v>
      </c>
      <c r="R64" s="89">
        <f t="shared" si="6"/>
        <v>2.3454069945259687E-2</v>
      </c>
      <c r="S64" s="89">
        <f t="shared" si="6"/>
        <v>2.3726246493665532E-2</v>
      </c>
      <c r="T64" s="89">
        <f t="shared" si="6"/>
        <v>3.3190650369034798E-2</v>
      </c>
      <c r="U64" s="89">
        <f t="shared" si="6"/>
        <v>2.1116614382567376E-2</v>
      </c>
      <c r="V64" s="89">
        <f t="shared" si="6"/>
        <v>2.1139955494830536E-2</v>
      </c>
      <c r="W64" s="89">
        <f t="shared" si="6"/>
        <v>1.9941285585501789E-2</v>
      </c>
      <c r="X64" s="89">
        <f t="shared" si="6"/>
        <v>2.4501619280403248E-2</v>
      </c>
      <c r="Y64" s="89">
        <f t="shared" si="6"/>
        <v>2.3549980207724641E-2</v>
      </c>
      <c r="Z64" s="89">
        <f t="shared" si="6"/>
        <v>2.4530289649112583E-2</v>
      </c>
      <c r="AA64" s="89">
        <f t="shared" si="6"/>
        <v>2.3670613477160166E-2</v>
      </c>
      <c r="AB64" s="89"/>
    </row>
    <row r="65" spans="1:28">
      <c r="A65" s="209" t="s">
        <v>224</v>
      </c>
      <c r="B65" s="47">
        <f>-HLOOKUP($A65,'[4]Provider Arm'!$C$8:$Y$58,ROW('[4]Provider Arm'!$A$26)-ROW('[4]Provider Arm'!A$7),FALSE)</f>
        <v>21496.3325</v>
      </c>
      <c r="C65" s="47">
        <f>-HLOOKUP($A65,'[4]Provider Arm'!$C$140:$Y$190,ROW('[4]Provider Arm'!$A$158)-ROW('[4]Provider Arm'!B$139),FALSE)</f>
        <v>29575.452600000001</v>
      </c>
      <c r="D65" s="47">
        <f>-HLOOKUP($A65,'[4]Provider Arm'!$C$268:$Y$318,ROW('[4]Provider Arm'!$A$286)-ROW('[4]Provider Arm'!C$267),FALSE)</f>
        <v>19389.691000000003</v>
      </c>
      <c r="E65" s="47">
        <f>-HLOOKUP($A65,'[4]Provider Arm'!$C$394:$Y$444,ROW('[4]Provider Arm'!$A$412)-ROW('[4]Provider Arm'!D$393),FALSE)</f>
        <v>21435.401099999999</v>
      </c>
      <c r="F65" s="47">
        <f>-HLOOKUP($A65,'[4]Provider Arm'!$C$516:$AE$546,ROW('[4]Provider Arm'!$A$526)-ROW('[4]Provider Arm'!E$515),FALSE)</f>
        <v>22460.377120000005</v>
      </c>
      <c r="G65" s="47">
        <f>-HLOOKUP($A65,'[4]Provider Arm'!$C$596:$AE$626,ROW('[4]Provider Arm'!$A$606)-ROW('[4]Provider Arm'!F$595),FALSE)</f>
        <v>20378.940340000001</v>
      </c>
      <c r="H65" s="47">
        <f>-HLOOKUP($A65,'[4]Provider Arm'!$C$676:$AE$706,ROW('[4]Provider Arm'!$A$686)-ROW('[4]Provider Arm'!G$675),FALSE)</f>
        <v>19905.172010000002</v>
      </c>
      <c r="I65" s="47">
        <f>-HLOOKUP($A65,'[4]Provider Arm'!$C$757:$AF$787,ROW('[4]Provider Arm'!$A$767)-ROW('[4]Provider Arm'!H$756),FALSE)</f>
        <v>28034.7808</v>
      </c>
      <c r="J65" s="47">
        <f>-HLOOKUP($A65,'[4]Provider Arm'!$C$838:$AF$868,ROW('[4]Provider Arm'!$A$848)-ROW('[4]Provider Arm'!I$837),FALSE)</f>
        <v>35986.041249999995</v>
      </c>
      <c r="K65" s="47">
        <f>-HLOOKUP($A65,'[4]Provider Arm'!$C$919:$AF$949,ROW('[4]Provider Arm'!$A$929)-ROW('[4]Provider Arm'!$A$918),FALSE)</f>
        <v>31060.155119999999</v>
      </c>
      <c r="L65" s="47">
        <f>-HLOOKUP($A65,'[4]Provider Arm'!$C$1000:$AF$1030,ROW('[4]Provider Arm'!$A$1010)-ROW('[4]Provider Arm'!$A$999),FALSE)</f>
        <v>35375.171410000003</v>
      </c>
      <c r="M65" s="47">
        <f>-HLOOKUP($A65,'[4]Provider Arm'!$C$1081:$AF$1111,ROW('[4]Provider Arm'!$A$1091)-ROW('[4]Provider Arm'!$A$1080),FALSE)</f>
        <v>25951.749419999996</v>
      </c>
      <c r="O65" s="209" t="s">
        <v>224</v>
      </c>
      <c r="P65" s="89">
        <f t="shared" si="7"/>
        <v>4.4954892291462115E-2</v>
      </c>
      <c r="Q65" s="89">
        <f t="shared" si="6"/>
        <v>5.6473075015028573E-2</v>
      </c>
      <c r="R65" s="89">
        <f t="shared" si="6"/>
        <v>3.3587902970733344E-2</v>
      </c>
      <c r="S65" s="89">
        <f t="shared" si="6"/>
        <v>3.7237007927535593E-2</v>
      </c>
      <c r="T65" s="89">
        <f t="shared" si="6"/>
        <v>3.6676260019810968E-2</v>
      </c>
      <c r="U65" s="89">
        <f t="shared" si="6"/>
        <v>3.2614063671874353E-2</v>
      </c>
      <c r="V65" s="89">
        <f t="shared" si="6"/>
        <v>3.0620204874704082E-2</v>
      </c>
      <c r="W65" s="89">
        <f t="shared" si="6"/>
        <v>4.2229752756925226E-2</v>
      </c>
      <c r="X65" s="89">
        <f t="shared" si="6"/>
        <v>5.2445311988018641E-2</v>
      </c>
      <c r="Y65" s="89">
        <f t="shared" si="6"/>
        <v>4.4471139915469221E-2</v>
      </c>
      <c r="Z65" s="89">
        <f t="shared" si="6"/>
        <v>4.8002772398837865E-2</v>
      </c>
      <c r="AA65" s="89">
        <f t="shared" si="6"/>
        <v>4.4929709835650491E-2</v>
      </c>
      <c r="AB65" s="89"/>
    </row>
    <row r="66" spans="1:28">
      <c r="A66" s="209" t="s">
        <v>225</v>
      </c>
      <c r="B66" s="47">
        <f>-HLOOKUP($A66,'[4]Provider Arm'!$C$8:$Y$58,ROW('[4]Provider Arm'!$A$26)-ROW('[4]Provider Arm'!A$7),FALSE)</f>
        <v>46914</v>
      </c>
      <c r="C66" s="47">
        <f>-HLOOKUP($A66,'[4]Provider Arm'!$C$140:$Y$190,ROW('[4]Provider Arm'!$A$158)-ROW('[4]Provider Arm'!B$139),FALSE)</f>
        <v>48860</v>
      </c>
      <c r="D66" s="47">
        <f>-HLOOKUP($A66,'[4]Provider Arm'!$C$268:$Y$318,ROW('[4]Provider Arm'!$A$286)-ROW('[4]Provider Arm'!C$267),FALSE)</f>
        <v>49552</v>
      </c>
      <c r="E66" s="47">
        <f>-HLOOKUP($A66,'[4]Provider Arm'!$C$394:$Y$444,ROW('[4]Provider Arm'!$A$412)-ROW('[4]Provider Arm'!D$393),FALSE)</f>
        <v>54151</v>
      </c>
      <c r="F66" s="47">
        <f>-HLOOKUP($A66,'[4]Provider Arm'!$C$516:$AE$546,ROW('[4]Provider Arm'!$A$526)-ROW('[4]Provider Arm'!E$515),FALSE)</f>
        <v>57340</v>
      </c>
      <c r="G66" s="47">
        <f>-HLOOKUP($A66,'[4]Provider Arm'!$C$596:$AE$626,ROW('[4]Provider Arm'!$A$606)-ROW('[4]Provider Arm'!F$595),FALSE)</f>
        <v>61298</v>
      </c>
      <c r="H66" s="47">
        <f>-HLOOKUP($A66,'[4]Provider Arm'!$C$676:$AE$706,ROW('[4]Provider Arm'!$A$686)-ROW('[4]Provider Arm'!G$675),FALSE)</f>
        <v>64971</v>
      </c>
      <c r="I66" s="47">
        <f>-HLOOKUP($A66,'[4]Provider Arm'!$C$757:$AF$787,ROW('[4]Provider Arm'!$A$767)-ROW('[4]Provider Arm'!H$756),FALSE)</f>
        <v>68120</v>
      </c>
      <c r="J66" s="47">
        <f>-HLOOKUP($A66,'[4]Provider Arm'!$C$838:$AF$868,ROW('[4]Provider Arm'!$A$848)-ROW('[4]Provider Arm'!I$837),FALSE)</f>
        <v>71645</v>
      </c>
      <c r="K66" s="47">
        <f>-HLOOKUP($A66,'[4]Provider Arm'!$C$919:$AF$949,ROW('[4]Provider Arm'!$A$929)-ROW('[4]Provider Arm'!$A$918),FALSE)</f>
        <v>83346</v>
      </c>
      <c r="L66" s="47">
        <f>-HLOOKUP($A66,'[4]Provider Arm'!$C$1000:$AF$1030,ROW('[4]Provider Arm'!$A$1010)-ROW('[4]Provider Arm'!$A$999),FALSE)</f>
        <v>86088</v>
      </c>
      <c r="M66" s="47">
        <f>-HLOOKUP($A66,'[4]Provider Arm'!$C$1081:$AF$1111,ROW('[4]Provider Arm'!$A$1091)-ROW('[4]Provider Arm'!$A$1080),FALSE)</f>
        <v>71395</v>
      </c>
      <c r="O66" s="209" t="s">
        <v>225</v>
      </c>
      <c r="P66" s="89">
        <f t="shared" si="7"/>
        <v>8.3754211008339005E-2</v>
      </c>
      <c r="Q66" s="89">
        <f t="shared" si="6"/>
        <v>7.8943329159429657E-2</v>
      </c>
      <c r="R66" s="89">
        <f t="shared" si="6"/>
        <v>7.5536470218795393E-2</v>
      </c>
      <c r="S66" s="89">
        <f t="shared" si="6"/>
        <v>6.945338692838289E-2</v>
      </c>
      <c r="T66" s="89">
        <f t="shared" si="6"/>
        <v>7.7800316140105699E-2</v>
      </c>
      <c r="U66" s="89">
        <f t="shared" si="6"/>
        <v>8.0202331046249339E-2</v>
      </c>
      <c r="V66" s="89">
        <f t="shared" si="6"/>
        <v>8.1406785840925297E-2</v>
      </c>
      <c r="W66" s="89">
        <f t="shared" si="6"/>
        <v>8.1592564200843237E-2</v>
      </c>
      <c r="X66" s="89">
        <f t="shared" si="6"/>
        <v>8.33325579123185E-2</v>
      </c>
      <c r="Y66" s="89">
        <f t="shared" si="6"/>
        <v>9.2847761353648306E-2</v>
      </c>
      <c r="Z66" s="89">
        <f t="shared" si="6"/>
        <v>8.95337977398145E-2</v>
      </c>
      <c r="AA66" s="89">
        <f t="shared" si="6"/>
        <v>9.3538941258933667E-2</v>
      </c>
      <c r="AB66" s="89"/>
    </row>
    <row r="67" spans="1:28">
      <c r="A67" s="209" t="s">
        <v>226</v>
      </c>
      <c r="B67" s="47">
        <f>-HLOOKUP($A67,'[4]Provider Arm'!$C$8:$Y$58,ROW('[4]Provider Arm'!$A$26)-ROW('[4]Provider Arm'!A$7),FALSE)</f>
        <v>13446.8202</v>
      </c>
      <c r="C67" s="47">
        <f>-HLOOKUP($A67,'[4]Provider Arm'!$C$140:$Y$190,ROW('[4]Provider Arm'!$A$158)-ROW('[4]Provider Arm'!B$139),FALSE)</f>
        <v>13857.889200000001</v>
      </c>
      <c r="D67" s="47">
        <f>-HLOOKUP($A67,'[4]Provider Arm'!$C$268:$Y$318,ROW('[4]Provider Arm'!$A$286)-ROW('[4]Provider Arm'!C$267),FALSE)</f>
        <v>10654.407000000001</v>
      </c>
      <c r="E67" s="47">
        <f>-HLOOKUP($A67,'[4]Provider Arm'!$C$394:$Y$444,ROW('[4]Provider Arm'!$A$412)-ROW('[4]Provider Arm'!D$393),FALSE)</f>
        <v>10837.3925</v>
      </c>
      <c r="F67" s="47">
        <f>-HLOOKUP($A67,'[4]Provider Arm'!$C$516:$AE$546,ROW('[4]Provider Arm'!$A$526)-ROW('[4]Provider Arm'!E$515),FALSE)</f>
        <v>12503.163500000002</v>
      </c>
      <c r="G67" s="47">
        <f>-HLOOKUP($A67,'[4]Provider Arm'!$C$596:$AE$626,ROW('[4]Provider Arm'!$A$606)-ROW('[4]Provider Arm'!F$595),FALSE)</f>
        <v>13182.9565</v>
      </c>
      <c r="H67" s="47">
        <f>-HLOOKUP($A67,'[4]Provider Arm'!$C$676:$AE$706,ROW('[4]Provider Arm'!$A$686)-ROW('[4]Provider Arm'!G$675),FALSE)</f>
        <v>15532.709039999998</v>
      </c>
      <c r="I67" s="47">
        <f>-HLOOKUP($A67,'[4]Provider Arm'!$C$757:$AF$787,ROW('[4]Provider Arm'!$A$767)-ROW('[4]Provider Arm'!H$756),FALSE)</f>
        <v>12818.087169999999</v>
      </c>
      <c r="J67" s="47">
        <f>-HLOOKUP($A67,'[4]Provider Arm'!$C$838:$AF$868,ROW('[4]Provider Arm'!$A$848)-ROW('[4]Provider Arm'!I$837),FALSE)</f>
        <v>14651.527760000004</v>
      </c>
      <c r="K67" s="47">
        <f>-HLOOKUP($A67,'[4]Provider Arm'!$C$919:$AF$949,ROW('[4]Provider Arm'!$A$929)-ROW('[4]Provider Arm'!$A$918),FALSE)</f>
        <v>17820.136429999999</v>
      </c>
      <c r="L67" s="47">
        <f>-HLOOKUP($A67,'[4]Provider Arm'!$C$1000:$AF$1030,ROW('[4]Provider Arm'!$A$1010)-ROW('[4]Provider Arm'!$A$999),FALSE)</f>
        <v>18786.535</v>
      </c>
      <c r="M67" s="47">
        <f>-HLOOKUP($A67,'[4]Provider Arm'!$C$1081:$AF$1111,ROW('[4]Provider Arm'!$A$1091)-ROW('[4]Provider Arm'!$A$1080),FALSE)</f>
        <v>13952.35101</v>
      </c>
      <c r="O67" s="209" t="s">
        <v>226</v>
      </c>
      <c r="P67" s="89">
        <f t="shared" si="7"/>
        <v>6.152344142610304E-2</v>
      </c>
      <c r="Q67" s="89">
        <f t="shared" si="6"/>
        <v>5.8648951328686277E-2</v>
      </c>
      <c r="R67" s="89">
        <f t="shared" si="6"/>
        <v>4.4487046640808443E-2</v>
      </c>
      <c r="S67" s="89">
        <f t="shared" si="6"/>
        <v>4.4782176862098975E-2</v>
      </c>
      <c r="T67" s="89">
        <f t="shared" si="6"/>
        <v>4.934673949318303E-2</v>
      </c>
      <c r="U67" s="89">
        <f t="shared" si="6"/>
        <v>5.0932305036597209E-2</v>
      </c>
      <c r="V67" s="89">
        <f t="shared" si="6"/>
        <v>5.7036551037176933E-2</v>
      </c>
      <c r="W67" s="89">
        <f t="shared" si="6"/>
        <v>4.5684394158090912E-2</v>
      </c>
      <c r="X67" s="89">
        <f t="shared" si="6"/>
        <v>5.0494875103365894E-2</v>
      </c>
      <c r="Y67" s="89">
        <f t="shared" si="6"/>
        <v>5.8432968488972843E-2</v>
      </c>
      <c r="Z67" s="89">
        <f t="shared" si="6"/>
        <v>5.7547649965334E-2</v>
      </c>
      <c r="AA67" s="89">
        <f t="shared" si="6"/>
        <v>5.3597515188129247E-2</v>
      </c>
      <c r="AB67" s="89"/>
    </row>
    <row r="68" spans="1:28">
      <c r="A68" s="209" t="s">
        <v>227</v>
      </c>
      <c r="B68" s="47">
        <f>-HLOOKUP($A68,'[4]Provider Arm'!$C$8:$Y$58,ROW('[4]Provider Arm'!$A$26)-ROW('[4]Provider Arm'!A$7),FALSE)</f>
        <v>7729</v>
      </c>
      <c r="C68" s="47">
        <f>-HLOOKUP($A68,'[4]Provider Arm'!$C$140:$Y$190,ROW('[4]Provider Arm'!$A$158)-ROW('[4]Provider Arm'!B$139),FALSE)</f>
        <v>8531</v>
      </c>
      <c r="D68" s="47">
        <f>-HLOOKUP($A68,'[4]Provider Arm'!$C$268:$Y$318,ROW('[4]Provider Arm'!$A$286)-ROW('[4]Provider Arm'!C$267),FALSE)</f>
        <v>6560</v>
      </c>
      <c r="E68" s="47">
        <f>-HLOOKUP($A68,'[4]Provider Arm'!$C$394:$Y$444,ROW('[4]Provider Arm'!$A$412)-ROW('[4]Provider Arm'!D$393),FALSE)</f>
        <v>6286</v>
      </c>
      <c r="F68" s="47">
        <f>-HLOOKUP($A68,'[4]Provider Arm'!$C$516:$AE$546,ROW('[4]Provider Arm'!$A$526)-ROW('[4]Provider Arm'!E$515),FALSE)</f>
        <v>5521</v>
      </c>
      <c r="G68" s="47">
        <f>-HLOOKUP($A68,'[4]Provider Arm'!$C$596:$AE$626,ROW('[4]Provider Arm'!$A$606)-ROW('[4]Provider Arm'!F$595),FALSE)</f>
        <v>9194</v>
      </c>
      <c r="H68" s="47">
        <f>-HLOOKUP($A68,'[4]Provider Arm'!$C$676:$AE$706,ROW('[4]Provider Arm'!$A$686)-ROW('[4]Provider Arm'!G$675),FALSE)</f>
        <v>11019</v>
      </c>
      <c r="I68" s="47">
        <f>-HLOOKUP($A68,'[4]Provider Arm'!$C$757:$AF$787,ROW('[4]Provider Arm'!$A$767)-ROW('[4]Provider Arm'!H$756),FALSE)</f>
        <v>12545</v>
      </c>
      <c r="J68" s="47">
        <f>-HLOOKUP($A68,'[4]Provider Arm'!$C$838:$AF$868,ROW('[4]Provider Arm'!$A$848)-ROW('[4]Provider Arm'!I$837),FALSE)</f>
        <v>17292</v>
      </c>
      <c r="K68" s="47">
        <f>-HLOOKUP($A68,'[4]Provider Arm'!$C$919:$AF$949,ROW('[4]Provider Arm'!$A$929)-ROW('[4]Provider Arm'!$A$918),FALSE)</f>
        <v>14281</v>
      </c>
      <c r="L68" s="47">
        <f>-HLOOKUP($A68,'[4]Provider Arm'!$C$1000:$AF$1030,ROW('[4]Provider Arm'!$A$1010)-ROW('[4]Provider Arm'!$A$999),FALSE)</f>
        <v>16277</v>
      </c>
      <c r="M68" s="47">
        <f>-HLOOKUP($A68,'[4]Provider Arm'!$C$1081:$AF$1111,ROW('[4]Provider Arm'!$A$1091)-ROW('[4]Provider Arm'!$A$1080),FALSE)</f>
        <v>11722.215169999999</v>
      </c>
      <c r="O68" s="209" t="s">
        <v>227</v>
      </c>
      <c r="P68" s="89">
        <f t="shared" si="7"/>
        <v>4.3509834607460114E-2</v>
      </c>
      <c r="Q68" s="89">
        <f t="shared" si="6"/>
        <v>4.32935803095661E-2</v>
      </c>
      <c r="R68" s="89">
        <f t="shared" si="6"/>
        <v>3.147188639416619E-2</v>
      </c>
      <c r="S68" s="89">
        <f t="shared" si="6"/>
        <v>2.9427323499257998E-2</v>
      </c>
      <c r="T68" s="89">
        <f t="shared" si="6"/>
        <v>2.5248321656575264E-2</v>
      </c>
      <c r="U68" s="89">
        <f t="shared" si="6"/>
        <v>4.0976227192098903E-2</v>
      </c>
      <c r="V68" s="89">
        <f t="shared" si="6"/>
        <v>4.774615114631494E-2</v>
      </c>
      <c r="W68" s="89">
        <f t="shared" si="6"/>
        <v>5.1638052037325938E-2</v>
      </c>
      <c r="X68" s="89">
        <f t="shared" si="6"/>
        <v>6.9496021220159146E-2</v>
      </c>
      <c r="Y68" s="89">
        <f t="shared" si="6"/>
        <v>5.7930391043323058E-2</v>
      </c>
      <c r="Z68" s="89">
        <f t="shared" si="6"/>
        <v>6.2904821530708463E-2</v>
      </c>
      <c r="AA68" s="89">
        <f t="shared" si="6"/>
        <v>5.7904890135142197E-2</v>
      </c>
      <c r="AB68" s="89"/>
    </row>
    <row r="69" spans="1:28">
      <c r="A69" s="209" t="s">
        <v>228</v>
      </c>
      <c r="B69" s="47">
        <f>-HLOOKUP($A69,'[4]Provider Arm'!$C$8:$Y$58,ROW('[4]Provider Arm'!$A$26)-ROW('[4]Provider Arm'!A$7),FALSE)</f>
        <v>9003</v>
      </c>
      <c r="C69" s="47">
        <f>-HLOOKUP($A69,'[4]Provider Arm'!$C$140:$Y$190,ROW('[4]Provider Arm'!$A$158)-ROW('[4]Provider Arm'!B$139),FALSE)</f>
        <v>10510</v>
      </c>
      <c r="D69" s="47">
        <f>-HLOOKUP($A69,'[4]Provider Arm'!$C$268:$Y$318,ROW('[4]Provider Arm'!$A$286)-ROW('[4]Provider Arm'!C$267),FALSE)</f>
        <v>11247.058200000001</v>
      </c>
      <c r="E69" s="47">
        <f>-HLOOKUP($A69,'[4]Provider Arm'!$C$394:$Y$444,ROW('[4]Provider Arm'!$A$412)-ROW('[4]Provider Arm'!D$393),FALSE)</f>
        <v>10297</v>
      </c>
      <c r="F69" s="47">
        <f>-HLOOKUP($A69,'[4]Provider Arm'!$C$516:$AE$546,ROW('[4]Provider Arm'!$A$526)-ROW('[4]Provider Arm'!E$515),FALSE)</f>
        <v>11711</v>
      </c>
      <c r="G69" s="47">
        <f>-HLOOKUP($A69,'[4]Provider Arm'!$C$596:$AE$626,ROW('[4]Provider Arm'!$A$606)-ROW('[4]Provider Arm'!F$595),FALSE)</f>
        <v>10249</v>
      </c>
      <c r="H69" s="47">
        <f>-HLOOKUP($A69,'[4]Provider Arm'!$C$676:$AE$706,ROW('[4]Provider Arm'!$A$686)-ROW('[4]Provider Arm'!G$675),FALSE)</f>
        <v>8698</v>
      </c>
      <c r="I69" s="47">
        <f>-HLOOKUP($A69,'[4]Provider Arm'!$C$757:$AF$787,ROW('[4]Provider Arm'!$A$767)-ROW('[4]Provider Arm'!H$756),FALSE)</f>
        <v>12076</v>
      </c>
      <c r="J69" s="47">
        <f>-HLOOKUP($A69,'[4]Provider Arm'!$C$838:$AF$868,ROW('[4]Provider Arm'!$A$848)-ROW('[4]Provider Arm'!I$837),FALSE)</f>
        <v>10477</v>
      </c>
      <c r="K69" s="47">
        <f>-HLOOKUP($A69,'[4]Provider Arm'!$C$919:$AF$949,ROW('[4]Provider Arm'!$A$929)-ROW('[4]Provider Arm'!$A$918),FALSE)</f>
        <v>12795</v>
      </c>
      <c r="L69" s="47">
        <f>-HLOOKUP($A69,'[4]Provider Arm'!$C$1000:$AF$1030,ROW('[4]Provider Arm'!$A$1010)-ROW('[4]Provider Arm'!$A$999),FALSE)</f>
        <v>15126</v>
      </c>
      <c r="M69" s="47">
        <f>-HLOOKUP($A69,'[4]Provider Arm'!$C$1081:$AF$1111,ROW('[4]Provider Arm'!$A$1091)-ROW('[4]Provider Arm'!$A$1080),FALSE)</f>
        <v>12582</v>
      </c>
      <c r="O69" s="209" t="s">
        <v>228</v>
      </c>
      <c r="P69" s="89">
        <f t="shared" si="7"/>
        <v>7.3398010761454427E-2</v>
      </c>
      <c r="Q69" s="89">
        <f t="shared" si="6"/>
        <v>7.9613371410391404E-2</v>
      </c>
      <c r="R69" s="89">
        <f t="shared" si="6"/>
        <v>8.0065172015131192E-2</v>
      </c>
      <c r="S69" s="89">
        <f t="shared" si="6"/>
        <v>7.1041778125659191E-2</v>
      </c>
      <c r="T69" s="89">
        <f t="shared" si="6"/>
        <v>7.6291668566738108E-2</v>
      </c>
      <c r="U69" s="89">
        <f t="shared" si="6"/>
        <v>6.565158347852823E-2</v>
      </c>
      <c r="V69" s="89">
        <f t="shared" si="6"/>
        <v>5.4431900673358534E-2</v>
      </c>
      <c r="W69" s="89">
        <f t="shared" si="6"/>
        <v>7.0995620094652989E-2</v>
      </c>
      <c r="X69" s="89">
        <f t="shared" si="6"/>
        <v>6.0175984744925505E-2</v>
      </c>
      <c r="Y69" s="89">
        <f t="shared" si="6"/>
        <v>7.1321467789675533E-2</v>
      </c>
      <c r="Z69" s="89">
        <f t="shared" si="6"/>
        <v>7.6130175251401713E-2</v>
      </c>
      <c r="AA69" s="89">
        <f t="shared" si="6"/>
        <v>8.0540263730636288E-2</v>
      </c>
      <c r="AB69" s="89"/>
    </row>
    <row r="70" spans="1:28">
      <c r="A70" s="209" t="s">
        <v>229</v>
      </c>
      <c r="B70" s="47">
        <f>-HLOOKUP($A70,'[4]Provider Arm'!$C$8:$Y$58,ROW('[4]Provider Arm'!$A$26)-ROW('[4]Provider Arm'!A$7),FALSE)</f>
        <v>22432</v>
      </c>
      <c r="C70" s="47">
        <f>-HLOOKUP($A70,'[4]Provider Arm'!$C$140:$Y$190,ROW('[4]Provider Arm'!$A$158)-ROW('[4]Provider Arm'!B$139),FALSE)</f>
        <v>24581</v>
      </c>
      <c r="D70" s="47">
        <f>-HLOOKUP($A70,'[4]Provider Arm'!$C$268:$Y$318,ROW('[4]Provider Arm'!$A$286)-ROW('[4]Provider Arm'!C$267),FALSE)</f>
        <v>20628</v>
      </c>
      <c r="E70" s="47">
        <f>-HLOOKUP($A70,'[4]Provider Arm'!$C$394:$Y$444,ROW('[4]Provider Arm'!$A$412)-ROW('[4]Provider Arm'!D$393),FALSE)</f>
        <v>18119</v>
      </c>
      <c r="F70" s="47">
        <f>-HLOOKUP($A70,'[4]Provider Arm'!$C$516:$AE$546,ROW('[4]Provider Arm'!$A$526)-ROW('[4]Provider Arm'!E$515),FALSE)</f>
        <v>21159</v>
      </c>
      <c r="G70" s="47">
        <f>-HLOOKUP($A70,'[4]Provider Arm'!$C$596:$AE$626,ROW('[4]Provider Arm'!$A$606)-ROW('[4]Provider Arm'!F$595),FALSE)</f>
        <v>20700</v>
      </c>
      <c r="H70" s="47">
        <f>-HLOOKUP($A70,'[4]Provider Arm'!$C$676:$AE$706,ROW('[4]Provider Arm'!$A$686)-ROW('[4]Provider Arm'!G$675),FALSE)</f>
        <v>21687</v>
      </c>
      <c r="I70" s="47">
        <f>-HLOOKUP($A70,'[4]Provider Arm'!$C$757:$AF$787,ROW('[4]Provider Arm'!$A$767)-ROW('[4]Provider Arm'!H$756),FALSE)</f>
        <v>22820</v>
      </c>
      <c r="J70" s="47">
        <f>-HLOOKUP($A70,'[4]Provider Arm'!$C$838:$AF$868,ROW('[4]Provider Arm'!$A$848)-ROW('[4]Provider Arm'!I$837),FALSE)</f>
        <v>25403</v>
      </c>
      <c r="K70" s="47">
        <f>-HLOOKUP($A70,'[4]Provider Arm'!$C$919:$AF$949,ROW('[4]Provider Arm'!$A$929)-ROW('[4]Provider Arm'!$A$918),FALSE)</f>
        <v>25697</v>
      </c>
      <c r="L70" s="47">
        <f>-HLOOKUP($A70,'[4]Provider Arm'!$C$1000:$AF$1030,ROW('[4]Provider Arm'!$A$1010)-ROW('[4]Provider Arm'!$A$999),FALSE)</f>
        <v>25771.353399999996</v>
      </c>
      <c r="M70" s="47">
        <f>-HLOOKUP($A70,'[4]Provider Arm'!$C$1081:$AF$1111,ROW('[4]Provider Arm'!$A$1091)-ROW('[4]Provider Arm'!$A$1080),FALSE)</f>
        <v>21477.90754</v>
      </c>
      <c r="O70" s="209" t="s">
        <v>229</v>
      </c>
      <c r="P70" s="89">
        <f t="shared" si="7"/>
        <v>8.3908759697461643E-2</v>
      </c>
      <c r="Q70" s="89">
        <f t="shared" si="6"/>
        <v>8.5331731837369473E-2</v>
      </c>
      <c r="R70" s="89">
        <f t="shared" si="6"/>
        <v>6.8257172165050797E-2</v>
      </c>
      <c r="S70" s="89">
        <f t="shared" si="6"/>
        <v>6.008701823270745E-2</v>
      </c>
      <c r="T70" s="89">
        <f t="shared" si="6"/>
        <v>6.6166951235529209E-2</v>
      </c>
      <c r="U70" s="89">
        <f t="shared" si="6"/>
        <v>6.1391905758975969E-2</v>
      </c>
      <c r="V70" s="89">
        <f t="shared" si="6"/>
        <v>6.1856816885339415E-2</v>
      </c>
      <c r="W70" s="89">
        <f t="shared" si="6"/>
        <v>6.4249836700677979E-2</v>
      </c>
      <c r="X70" s="89">
        <f t="shared" si="6"/>
        <v>7.1493301812450755E-2</v>
      </c>
      <c r="Y70" s="89">
        <f t="shared" si="6"/>
        <v>7.0359174867068608E-2</v>
      </c>
      <c r="Z70" s="89">
        <f t="shared" si="6"/>
        <v>6.773049232731565E-2</v>
      </c>
      <c r="AA70" s="89">
        <f t="shared" si="6"/>
        <v>7.2186142743620604E-2</v>
      </c>
      <c r="AB70" s="89"/>
    </row>
    <row r="71" spans="1:28">
      <c r="A71" s="209" t="s">
        <v>230</v>
      </c>
      <c r="B71" s="47">
        <f>-HLOOKUP($A71,'[4]Provider Arm'!$C$8:$Y$58,ROW('[4]Provider Arm'!$A$26)-ROW('[4]Provider Arm'!A$7),FALSE)</f>
        <v>12230</v>
      </c>
      <c r="C71" s="47">
        <f>-HLOOKUP($A71,'[4]Provider Arm'!$C$140:$Y$190,ROW('[4]Provider Arm'!$A$158)-ROW('[4]Provider Arm'!B$139),FALSE)</f>
        <v>14759</v>
      </c>
      <c r="D71" s="47">
        <f>-HLOOKUP($A71,'[4]Provider Arm'!$C$268:$Y$318,ROW('[4]Provider Arm'!$A$286)-ROW('[4]Provider Arm'!C$267),FALSE)</f>
        <v>10980.625700000001</v>
      </c>
      <c r="E71" s="47">
        <f>-HLOOKUP($A71,'[4]Provider Arm'!$C$394:$Y$444,ROW('[4]Provider Arm'!$A$412)-ROW('[4]Provider Arm'!D$393),FALSE)</f>
        <v>11797.076999999999</v>
      </c>
      <c r="F71" s="47">
        <f>-HLOOKUP($A71,'[4]Provider Arm'!$C$516:$AE$546,ROW('[4]Provider Arm'!$A$526)-ROW('[4]Provider Arm'!E$515),FALSE)</f>
        <v>11670.483250000001</v>
      </c>
      <c r="G71" s="47">
        <f>-HLOOKUP($A71,'[4]Provider Arm'!$C$596:$AE$626,ROW('[4]Provider Arm'!$A$606)-ROW('[4]Provider Arm'!F$595),FALSE)</f>
        <v>11334.242250000001</v>
      </c>
      <c r="H71" s="47">
        <f>-HLOOKUP($A71,'[4]Provider Arm'!$C$676:$AE$706,ROW('[4]Provider Arm'!$A$686)-ROW('[4]Provider Arm'!G$675),FALSE)</f>
        <v>13657.83021</v>
      </c>
      <c r="I71" s="47">
        <f>-HLOOKUP($A71,'[4]Provider Arm'!$C$757:$AF$787,ROW('[4]Provider Arm'!$A$767)-ROW('[4]Provider Arm'!H$756),FALSE)</f>
        <v>13838.040059999999</v>
      </c>
      <c r="J71" s="47">
        <f>-HLOOKUP($A71,'[4]Provider Arm'!$C$838:$AF$868,ROW('[4]Provider Arm'!$A$848)-ROW('[4]Provider Arm'!I$837),FALSE)</f>
        <v>13689.851709999999</v>
      </c>
      <c r="K71" s="47">
        <f>-HLOOKUP($A71,'[4]Provider Arm'!$C$919:$AF$949,ROW('[4]Provider Arm'!$A$929)-ROW('[4]Provider Arm'!$A$918),FALSE)</f>
        <v>13709.425839999998</v>
      </c>
      <c r="L71" s="47">
        <f>-HLOOKUP($A71,'[4]Provider Arm'!$C$1000:$AF$1030,ROW('[4]Provider Arm'!$A$1010)-ROW('[4]Provider Arm'!$A$999),FALSE)</f>
        <v>20188.461060000001</v>
      </c>
      <c r="M71" s="47">
        <f>-HLOOKUP($A71,'[4]Provider Arm'!$C$1081:$AF$1111,ROW('[4]Provider Arm'!$A$1091)-ROW('[4]Provider Arm'!$A$1080),FALSE)</f>
        <v>17434.360529999998</v>
      </c>
      <c r="O71" s="209" t="s">
        <v>230</v>
      </c>
      <c r="P71" s="89">
        <f t="shared" si="7"/>
        <v>6.1393730038566602E-2</v>
      </c>
      <c r="Q71" s="89">
        <f t="shared" si="6"/>
        <v>6.6774043225097154E-2</v>
      </c>
      <c r="R71" s="89">
        <f t="shared" si="6"/>
        <v>4.9632101451361363E-2</v>
      </c>
      <c r="S71" s="89">
        <f t="shared" si="6"/>
        <v>5.2174870491512274E-2</v>
      </c>
      <c r="T71" s="89">
        <f t="shared" si="6"/>
        <v>4.9561663221651994E-2</v>
      </c>
      <c r="U71" s="89">
        <f t="shared" si="6"/>
        <v>4.769829268245572E-2</v>
      </c>
      <c r="V71" s="89">
        <f t="shared" si="6"/>
        <v>5.6254985998891602E-2</v>
      </c>
      <c r="W71" s="89">
        <f t="shared" si="6"/>
        <v>5.5214954695266105E-2</v>
      </c>
      <c r="X71" s="89">
        <f t="shared" si="6"/>
        <v>5.2454656519108425E-2</v>
      </c>
      <c r="Y71" s="89">
        <f t="shared" si="6"/>
        <v>5.1968996080017024E-2</v>
      </c>
      <c r="Z71" s="89">
        <f t="shared" si="6"/>
        <v>6.9399497111033839E-2</v>
      </c>
      <c r="AA71" s="89">
        <f t="shared" si="6"/>
        <v>7.5746366497597403E-2</v>
      </c>
      <c r="AB71" s="89"/>
    </row>
    <row r="72" spans="1:28">
      <c r="A72" s="209" t="s">
        <v>231</v>
      </c>
      <c r="B72" s="47">
        <f>-HLOOKUP($A72,'[4]Provider Arm'!$C$8:$Y$58,ROW('[4]Provider Arm'!$A$26)-ROW('[4]Provider Arm'!A$7),FALSE)</f>
        <v>10077.0651</v>
      </c>
      <c r="C72" s="47">
        <f>-HLOOKUP($A72,'[4]Provider Arm'!$C$140:$Y$190,ROW('[4]Provider Arm'!$A$158)-ROW('[4]Provider Arm'!B$139),FALSE)</f>
        <v>12933.032299999999</v>
      </c>
      <c r="D72" s="47">
        <f>-HLOOKUP($A72,'[4]Provider Arm'!$C$268:$Y$318,ROW('[4]Provider Arm'!$A$286)-ROW('[4]Provider Arm'!C$267),FALSE)</f>
        <v>12200.034900000001</v>
      </c>
      <c r="E72" s="47">
        <f>-HLOOKUP($A72,'[4]Provider Arm'!$C$394:$Y$444,ROW('[4]Provider Arm'!$A$412)-ROW('[4]Provider Arm'!D$393),FALSE)</f>
        <v>13963.465700000001</v>
      </c>
      <c r="F72" s="47">
        <f>-HLOOKUP($A72,'[4]Provider Arm'!$C$516:$AE$546,ROW('[4]Provider Arm'!$A$526)-ROW('[4]Provider Arm'!E$515),FALSE)</f>
        <v>14658.11803</v>
      </c>
      <c r="G72" s="47">
        <f>-HLOOKUP($A72,'[4]Provider Arm'!$C$596:$AE$626,ROW('[4]Provider Arm'!$A$606)-ROW('[4]Provider Arm'!F$595),FALSE)</f>
        <v>23390.001179999999</v>
      </c>
      <c r="H72" s="47">
        <f>-HLOOKUP($A72,'[4]Provider Arm'!$C$676:$AE$706,ROW('[4]Provider Arm'!$A$686)-ROW('[4]Provider Arm'!G$675),FALSE)</f>
        <v>23520.251850000001</v>
      </c>
      <c r="I72" s="47">
        <f>-HLOOKUP($A72,'[4]Provider Arm'!$C$757:$AF$787,ROW('[4]Provider Arm'!$A$767)-ROW('[4]Provider Arm'!H$756),FALSE)</f>
        <v>23255.599099999999</v>
      </c>
      <c r="J72" s="47">
        <f>-HLOOKUP($A72,'[4]Provider Arm'!$C$838:$AF$868,ROW('[4]Provider Arm'!$A$848)-ROW('[4]Provider Arm'!I$837),FALSE)</f>
        <v>24330.991019999994</v>
      </c>
      <c r="K72" s="47">
        <f>-HLOOKUP($A72,'[4]Provider Arm'!$C$919:$AF$949,ROW('[4]Provider Arm'!$A$929)-ROW('[4]Provider Arm'!$A$918),FALSE)</f>
        <v>27020.755300000001</v>
      </c>
      <c r="L72" s="47">
        <f>-HLOOKUP($A72,'[4]Provider Arm'!$C$1000:$AF$1030,ROW('[4]Provider Arm'!$A$1010)-ROW('[4]Provider Arm'!$A$999),FALSE)</f>
        <v>34735.683999999994</v>
      </c>
      <c r="M72" s="47">
        <f>-HLOOKUP($A72,'[4]Provider Arm'!$C$1081:$AF$1111,ROW('[4]Provider Arm'!$A$1091)-ROW('[4]Provider Arm'!$A$1080),FALSE)</f>
        <v>29079.517780000009</v>
      </c>
      <c r="O72" s="209" t="s">
        <v>231</v>
      </c>
      <c r="P72" s="89">
        <f t="shared" si="7"/>
        <v>4.9056809505886236E-2</v>
      </c>
      <c r="Q72" s="89">
        <f t="shared" si="6"/>
        <v>5.6697915128919113E-2</v>
      </c>
      <c r="R72" s="89">
        <f t="shared" si="6"/>
        <v>4.8814349769629777E-2</v>
      </c>
      <c r="S72" s="89">
        <f t="shared" si="6"/>
        <v>5.3508563416410158E-2</v>
      </c>
      <c r="T72" s="89">
        <f t="shared" si="6"/>
        <v>5.3972097342880894E-2</v>
      </c>
      <c r="U72" s="89">
        <f t="shared" si="6"/>
        <v>8.2661285074383334E-2</v>
      </c>
      <c r="V72" s="89">
        <f t="shared" si="6"/>
        <v>7.9893829833990279E-2</v>
      </c>
      <c r="W72" s="89">
        <f t="shared" si="6"/>
        <v>7.5928048179946292E-2</v>
      </c>
      <c r="X72" s="89">
        <f t="shared" si="6"/>
        <v>7.5291052160855507E-2</v>
      </c>
      <c r="Y72" s="89">
        <f t="shared" si="6"/>
        <v>8.0222625142203421E-2</v>
      </c>
      <c r="Z72" s="89">
        <f t="shared" si="6"/>
        <v>9.3887194157181483E-2</v>
      </c>
      <c r="AA72" s="89">
        <f t="shared" si="6"/>
        <v>9.7435805294421751E-2</v>
      </c>
      <c r="AB72" s="89"/>
    </row>
    <row r="73" spans="1:28">
      <c r="A73" s="209" t="s">
        <v>232</v>
      </c>
      <c r="B73" s="47">
        <f>-HLOOKUP($A73,'[4]Provider Arm'!$C$8:$Y$58,ROW('[4]Provider Arm'!$A$26)-ROW('[4]Provider Arm'!A$7),FALSE)</f>
        <v>5995.51</v>
      </c>
      <c r="C73" s="47">
        <f>-HLOOKUP($A73,'[4]Provider Arm'!$C$140:$Y$190,ROW('[4]Provider Arm'!$A$158)-ROW('[4]Provider Arm'!B$139),FALSE)</f>
        <v>6225.46</v>
      </c>
      <c r="D73" s="47"/>
      <c r="E73" s="47"/>
      <c r="F73" s="47"/>
      <c r="G73" s="47"/>
      <c r="H73" s="47"/>
      <c r="I73" s="47"/>
      <c r="J73" s="47"/>
      <c r="K73" s="47"/>
      <c r="L73" s="47"/>
      <c r="M73" s="47"/>
      <c r="O73" s="209" t="s">
        <v>232</v>
      </c>
      <c r="P73" s="89">
        <f t="shared" si="7"/>
        <v>2.1650394682552046E-2</v>
      </c>
      <c r="Q73" s="89">
        <f t="shared" si="6"/>
        <v>2.1551949758622152E-2</v>
      </c>
      <c r="R73" s="89"/>
      <c r="S73" s="89"/>
      <c r="T73" s="89"/>
      <c r="U73" s="89"/>
      <c r="V73" s="89"/>
      <c r="W73" s="89"/>
      <c r="X73" s="89"/>
      <c r="Y73" s="89"/>
      <c r="Z73" s="89"/>
      <c r="AA73" s="89"/>
      <c r="AB73" s="89"/>
    </row>
    <row r="74" spans="1:28">
      <c r="A74" s="209" t="s">
        <v>233</v>
      </c>
      <c r="B74" s="47">
        <f>-HLOOKUP($A74,'[4]Provider Arm'!$C$8:$Y$58,ROW('[4]Provider Arm'!$A$26)-ROW('[4]Provider Arm'!A$7),FALSE)</f>
        <v>8233</v>
      </c>
      <c r="C74" s="47">
        <f>-HLOOKUP($A74,'[4]Provider Arm'!$C$140:$Y$190,ROW('[4]Provider Arm'!$A$158)-ROW('[4]Provider Arm'!B$139),FALSE)</f>
        <v>9175</v>
      </c>
      <c r="D74" s="47">
        <f>-HLOOKUP($A74,'[4]Provider Arm'!$C$268:$Y$318,ROW('[4]Provider Arm'!$A$286)-ROW('[4]Provider Arm'!C$267),FALSE)</f>
        <v>10292</v>
      </c>
      <c r="E74" s="47">
        <f>-HLOOKUP($A74,'[4]Provider Arm'!$C$394:$Y$444,ROW('[4]Provider Arm'!$A$412)-ROW('[4]Provider Arm'!D$393),FALSE)</f>
        <v>9265</v>
      </c>
      <c r="F74" s="47">
        <f>-HLOOKUP($A74,'[4]Provider Arm'!$C$516:$AE$546,ROW('[4]Provider Arm'!$A$526)-ROW('[4]Provider Arm'!E$515),FALSE)</f>
        <v>8975</v>
      </c>
      <c r="G74" s="47">
        <f>-HLOOKUP($A74,'[4]Provider Arm'!$C$596:$AE$626,ROW('[4]Provider Arm'!$A$606)-ROW('[4]Provider Arm'!F$595),FALSE)</f>
        <v>8922</v>
      </c>
      <c r="H74" s="47">
        <f>-HLOOKUP($A74,'[4]Provider Arm'!$C$676:$AE$706,ROW('[4]Provider Arm'!$A$686)-ROW('[4]Provider Arm'!G$675),FALSE)</f>
        <v>10321</v>
      </c>
      <c r="I74" s="47">
        <f>-HLOOKUP($A74,'[4]Provider Arm'!$C$757:$AF$787,ROW('[4]Provider Arm'!$A$767)-ROW('[4]Provider Arm'!H$756),FALSE)</f>
        <v>10592</v>
      </c>
      <c r="J74" s="47">
        <f>-HLOOKUP($A74,'[4]Provider Arm'!$C$838:$AF$868,ROW('[4]Provider Arm'!$A$848)-ROW('[4]Provider Arm'!I$837),FALSE)</f>
        <v>11335</v>
      </c>
      <c r="K74" s="47">
        <f>-HLOOKUP($A74,'[4]Provider Arm'!$C$919:$AF$949,ROW('[4]Provider Arm'!$A$929)-ROW('[4]Provider Arm'!$A$918),FALSE)</f>
        <v>11712</v>
      </c>
      <c r="L74" s="47">
        <f>-HLOOKUP($A74,'[4]Provider Arm'!$C$1000:$AF$1030,ROW('[4]Provider Arm'!$A$1010)-ROW('[4]Provider Arm'!$A$999),FALSE)</f>
        <v>12089</v>
      </c>
      <c r="M74" s="47">
        <f>-HLOOKUP($A74,'[4]Provider Arm'!$C$1081:$AF$1111,ROW('[4]Provider Arm'!$A$1091)-ROW('[4]Provider Arm'!$A$1080),FALSE)</f>
        <v>9183</v>
      </c>
      <c r="O74" s="209" t="s">
        <v>233</v>
      </c>
      <c r="P74" s="89">
        <f t="shared" si="7"/>
        <v>0.11358055348619044</v>
      </c>
      <c r="Q74" s="89">
        <f t="shared" si="6"/>
        <v>0.11706389711136062</v>
      </c>
      <c r="R74" s="89">
        <f t="shared" si="6"/>
        <v>0.12837399590879608</v>
      </c>
      <c r="S74" s="89">
        <f t="shared" si="6"/>
        <v>0.10953478749187208</v>
      </c>
      <c r="T74" s="89">
        <f t="shared" si="6"/>
        <v>0.10289127344430687</v>
      </c>
      <c r="U74" s="89">
        <f t="shared" si="6"/>
        <v>0.10084888492014152</v>
      </c>
      <c r="V74" s="89">
        <f t="shared" si="6"/>
        <v>0.11012120694806027</v>
      </c>
      <c r="W74" s="89">
        <f t="shared" si="6"/>
        <v>0.10903962363211481</v>
      </c>
      <c r="X74" s="89">
        <f t="shared" si="6"/>
        <v>0.11789975140678795</v>
      </c>
      <c r="Y74" s="89">
        <f t="shared" si="6"/>
        <v>0.12309503289681122</v>
      </c>
      <c r="Z74" s="89">
        <f t="shared" si="6"/>
        <v>0.12262887748270475</v>
      </c>
      <c r="AA74" s="89">
        <f t="shared" si="6"/>
        <v>0.1201538723226085</v>
      </c>
      <c r="AB74" s="89"/>
    </row>
    <row r="75" spans="1:28">
      <c r="A75" s="209" t="s">
        <v>234</v>
      </c>
      <c r="B75" s="215">
        <f>B73+B76</f>
        <v>14673.4</v>
      </c>
      <c r="C75" s="215">
        <f>C73+C76</f>
        <v>20185.496199999998</v>
      </c>
      <c r="D75" s="47">
        <f>-HLOOKUP($A75,'[4]Provider Arm'!$C$268:$Y$318,ROW('[4]Provider Arm'!$A$286)-ROW('[4]Provider Arm'!C$267),FALSE)</f>
        <v>22423.730500000001</v>
      </c>
      <c r="E75" s="47">
        <f>-HLOOKUP($A75,'[4]Provider Arm'!$C$394:$Y$444,ROW('[4]Provider Arm'!$A$412)-ROW('[4]Provider Arm'!D$393),FALSE)</f>
        <v>17717.449100000005</v>
      </c>
      <c r="F75" s="47">
        <f>-HLOOKUP($A75,'[4]Provider Arm'!$C$516:$AE$546,ROW('[4]Provider Arm'!$A$526)-ROW('[4]Provider Arm'!E$515),FALSE)</f>
        <v>21001.604590000003</v>
      </c>
      <c r="G75" s="47">
        <f>-HLOOKUP($A75,'[4]Provider Arm'!$C$596:$AE$626,ROW('[4]Provider Arm'!$A$606)-ROW('[4]Provider Arm'!F$595),FALSE)</f>
        <v>16945.648820000002</v>
      </c>
      <c r="H75" s="47">
        <f>-HLOOKUP($A75,'[4]Provider Arm'!$C$676:$AE$706,ROW('[4]Provider Arm'!$A$686)-ROW('[4]Provider Arm'!G$675),FALSE)</f>
        <v>15611.013120000003</v>
      </c>
      <c r="I75" s="47">
        <f>-HLOOKUP($A75,'[4]Provider Arm'!$C$757:$AF$787,ROW('[4]Provider Arm'!$A$767)-ROW('[4]Provider Arm'!H$756),FALSE)</f>
        <v>29935.342100000005</v>
      </c>
      <c r="J75" s="47">
        <f>-HLOOKUP($A75,'[4]Provider Arm'!$C$838:$AF$868,ROW('[4]Provider Arm'!$A$848)-ROW('[4]Provider Arm'!I$837),FALSE)</f>
        <v>32575.055359999984</v>
      </c>
      <c r="K75" s="47">
        <f>-HLOOKUP($A75,'[4]Provider Arm'!$C$919:$AF$949,ROW('[4]Provider Arm'!$A$929)-ROW('[4]Provider Arm'!$A$918),FALSE)</f>
        <v>38954.552410000004</v>
      </c>
      <c r="L75" s="47">
        <f>-HLOOKUP($A75,'[4]Provider Arm'!$C$1000:$AF$1030,ROW('[4]Provider Arm'!$A$1010)-ROW('[4]Provider Arm'!$A$999),FALSE)</f>
        <v>41705.451939999999</v>
      </c>
      <c r="M75" s="47">
        <f>-HLOOKUP($A75,'[4]Provider Arm'!$C$1081:$AF$1111,ROW('[4]Provider Arm'!$A$1091)-ROW('[4]Provider Arm'!$A$1080),FALSE)</f>
        <v>34193.180930000002</v>
      </c>
      <c r="O75" s="209" t="s">
        <v>234</v>
      </c>
      <c r="P75" s="216">
        <f t="shared" si="7"/>
        <v>3.6704454664929345E-2</v>
      </c>
      <c r="Q75" s="216">
        <f t="shared" si="6"/>
        <v>4.7299307662407662E-2</v>
      </c>
      <c r="R75" s="89">
        <f t="shared" si="6"/>
        <v>4.9845150491254382E-2</v>
      </c>
      <c r="S75" s="89">
        <f t="shared" si="6"/>
        <v>3.877400614219139E-2</v>
      </c>
      <c r="T75" s="89">
        <f t="shared" si="6"/>
        <v>4.3496889959295376E-2</v>
      </c>
      <c r="U75" s="89">
        <f t="shared" si="6"/>
        <v>3.5129775194536875E-2</v>
      </c>
      <c r="V75" s="89">
        <f t="shared" si="6"/>
        <v>3.1249905092830849E-2</v>
      </c>
      <c r="W75" s="89">
        <f t="shared" si="6"/>
        <v>5.7044806149138996E-2</v>
      </c>
      <c r="X75" s="89">
        <f t="shared" si="6"/>
        <v>5.9847681321232568E-2</v>
      </c>
      <c r="Y75" s="89">
        <f t="shared" si="6"/>
        <v>7.0456469164422011E-2</v>
      </c>
      <c r="Z75" s="89">
        <f t="shared" si="6"/>
        <v>7.292884781770323E-2</v>
      </c>
      <c r="AA75" s="89">
        <f t="shared" si="6"/>
        <v>7.4275690842171213E-2</v>
      </c>
      <c r="AB75" s="89"/>
    </row>
    <row r="76" spans="1:28">
      <c r="A76" s="209" t="s">
        <v>235</v>
      </c>
      <c r="B76" s="47">
        <f>-HLOOKUP($A76,'[4]Provider Arm'!$C$8:$Y$58,ROW('[4]Provider Arm'!$A$26)-ROW('[4]Provider Arm'!A$7),FALSE)</f>
        <v>8677.89</v>
      </c>
      <c r="C76" s="47">
        <f>-HLOOKUP($A76,'[4]Provider Arm'!$C$140:$Y$190,ROW('[4]Provider Arm'!$A$158)-ROW('[4]Provider Arm'!B$139),FALSE)</f>
        <v>13960.036199999999</v>
      </c>
      <c r="D76" s="47"/>
      <c r="E76" s="47"/>
      <c r="F76" s="47"/>
      <c r="G76" s="47"/>
      <c r="H76" s="47"/>
      <c r="I76" s="47"/>
      <c r="J76" s="47"/>
      <c r="K76" s="47"/>
      <c r="L76" s="47"/>
      <c r="M76" s="47"/>
      <c r="O76" s="209" t="s">
        <v>235</v>
      </c>
      <c r="P76" s="89">
        <f t="shared" si="7"/>
        <v>7.0639349323735251E-2</v>
      </c>
      <c r="Q76" s="89">
        <f t="shared" si="6"/>
        <v>0.10123112897206796</v>
      </c>
      <c r="R76" s="89"/>
      <c r="S76" s="89"/>
      <c r="T76" s="89"/>
      <c r="U76" s="89"/>
      <c r="V76" s="89"/>
      <c r="W76" s="89"/>
      <c r="X76" s="89"/>
      <c r="Y76" s="89"/>
      <c r="Z76" s="89"/>
      <c r="AA76" s="89"/>
      <c r="AB76" s="89"/>
    </row>
    <row r="77" spans="1:28">
      <c r="A77" s="209" t="s">
        <v>236</v>
      </c>
      <c r="B77" s="47">
        <f>-HLOOKUP($A77,'[4]Provider Arm'!$C$8:$Y$58,ROW('[4]Provider Arm'!$A$26)-ROW('[4]Provider Arm'!A$7),FALSE)</f>
        <v>4124.5340000000006</v>
      </c>
      <c r="C77" s="47">
        <f>-HLOOKUP($A77,'[4]Provider Arm'!$C$140:$Y$190,ROW('[4]Provider Arm'!$A$158)-ROW('[4]Provider Arm'!B$139),FALSE)</f>
        <v>4833.3640000000005</v>
      </c>
      <c r="D77" s="47">
        <f>-HLOOKUP($A77,'[4]Provider Arm'!$C$268:$Y$318,ROW('[4]Provider Arm'!$A$286)-ROW('[4]Provider Arm'!C$267),FALSE)</f>
        <v>5728.4130000000005</v>
      </c>
      <c r="E77" s="47">
        <f>-HLOOKUP($A77,'[4]Provider Arm'!$C$394:$Y$444,ROW('[4]Provider Arm'!$A$412)-ROW('[4]Provider Arm'!D$393),FALSE)</f>
        <v>5633.3450000000012</v>
      </c>
      <c r="F77" s="47">
        <f>-HLOOKUP($A77,'[4]Provider Arm'!$C$516:$AE$546,ROW('[4]Provider Arm'!$A$526)-ROW('[4]Provider Arm'!E$515),FALSE)</f>
        <v>5908</v>
      </c>
      <c r="G77" s="47">
        <f>-HLOOKUP($A77,'[4]Provider Arm'!$C$596:$AE$626,ROW('[4]Provider Arm'!$A$606)-ROW('[4]Provider Arm'!F$595),FALSE)</f>
        <v>5804</v>
      </c>
      <c r="H77" s="47">
        <f>-HLOOKUP($A77,'[4]Provider Arm'!$C$676:$AE$706,ROW('[4]Provider Arm'!$A$686)-ROW('[4]Provider Arm'!G$675),FALSE)</f>
        <v>6076</v>
      </c>
      <c r="I77" s="47">
        <f>-HLOOKUP($A77,'[4]Provider Arm'!$C$757:$AF$787,ROW('[4]Provider Arm'!$A$767)-ROW('[4]Provider Arm'!H$756),FALSE)</f>
        <v>7362</v>
      </c>
      <c r="J77" s="47">
        <f>-HLOOKUP($A77,'[4]Provider Arm'!$C$838:$AF$868,ROW('[4]Provider Arm'!$A$848)-ROW('[4]Provider Arm'!I$837),FALSE)</f>
        <v>5940.7380000000003</v>
      </c>
      <c r="K77" s="47">
        <f>-HLOOKUP($A77,'[4]Provider Arm'!$C$919:$AF$949,ROW('[4]Provider Arm'!$A$929)-ROW('[4]Provider Arm'!$A$918),FALSE)</f>
        <v>7071</v>
      </c>
      <c r="L77" s="47">
        <f>-HLOOKUP($A77,'[4]Provider Arm'!$C$1000:$AF$1030,ROW('[4]Provider Arm'!$A$1010)-ROW('[4]Provider Arm'!$A$999),FALSE)</f>
        <v>8249</v>
      </c>
      <c r="M77" s="47">
        <f>-HLOOKUP($A77,'[4]Provider Arm'!$C$1081:$AF$1111,ROW('[4]Provider Arm'!$A$1091)-ROW('[4]Provider Arm'!$A$1080),FALSE)</f>
        <v>6446</v>
      </c>
      <c r="O77" s="209" t="s">
        <v>236</v>
      </c>
      <c r="P77" s="89">
        <f t="shared" si="7"/>
        <v>6.216118842772729E-2</v>
      </c>
      <c r="Q77" s="89">
        <f t="shared" si="6"/>
        <v>6.2076131611266752E-2</v>
      </c>
      <c r="R77" s="89">
        <f t="shared" si="6"/>
        <v>6.9643688917311167E-2</v>
      </c>
      <c r="S77" s="89">
        <f t="shared" si="6"/>
        <v>6.6300942792746231E-2</v>
      </c>
      <c r="T77" s="89">
        <f t="shared" si="6"/>
        <v>6.8259543395877628E-2</v>
      </c>
      <c r="U77" s="89">
        <f t="shared" si="6"/>
        <v>6.3670370898559633E-2</v>
      </c>
      <c r="V77" s="89">
        <f t="shared" si="6"/>
        <v>6.6289180549645971E-2</v>
      </c>
      <c r="W77" s="89">
        <f t="shared" si="6"/>
        <v>7.656308498689629E-2</v>
      </c>
      <c r="X77" s="89">
        <f t="shared" si="6"/>
        <v>6.0691909082759329E-2</v>
      </c>
      <c r="Y77" s="89">
        <f t="shared" si="6"/>
        <v>7.0612554674549119E-2</v>
      </c>
      <c r="Z77" s="89">
        <f t="shared" si="6"/>
        <v>7.7323984589570779E-2</v>
      </c>
      <c r="AA77" s="89">
        <f t="shared" si="6"/>
        <v>7.5113322535162036E-2</v>
      </c>
      <c r="AB77" s="89"/>
    </row>
    <row r="78" spans="1:28">
      <c r="A78" s="209" t="s">
        <v>237</v>
      </c>
      <c r="B78" s="47">
        <f>-HLOOKUP($A78,'[4]Provider Arm'!$C$8:$Y$58,ROW('[4]Provider Arm'!$A$26)-ROW('[4]Provider Arm'!A$7),FALSE)</f>
        <v>22742</v>
      </c>
      <c r="C78" s="47">
        <f>-HLOOKUP($A78,'[4]Provider Arm'!$C$140:$Y$190,ROW('[4]Provider Arm'!$A$158)-ROW('[4]Provider Arm'!B$139),FALSE)</f>
        <v>22893</v>
      </c>
      <c r="D78" s="47">
        <f>-HLOOKUP($A78,'[4]Provider Arm'!$C$268:$Y$318,ROW('[4]Provider Arm'!$A$286)-ROW('[4]Provider Arm'!C$267),FALSE)</f>
        <v>24487</v>
      </c>
      <c r="E78" s="47">
        <f>-HLOOKUP($A78,'[4]Provider Arm'!$C$394:$Y$444,ROW('[4]Provider Arm'!$A$412)-ROW('[4]Provider Arm'!D$393),FALSE)</f>
        <v>24170</v>
      </c>
      <c r="F78" s="47">
        <f>-HLOOKUP($A78,'[4]Provider Arm'!$C$516:$AE$546,ROW('[4]Provider Arm'!$A$526)-ROW('[4]Provider Arm'!E$515),FALSE)</f>
        <v>22062</v>
      </c>
      <c r="G78" s="47">
        <f>-HLOOKUP($A78,'[4]Provider Arm'!$C$596:$AE$626,ROW('[4]Provider Arm'!$A$606)-ROW('[4]Provider Arm'!F$595),FALSE)</f>
        <v>21617</v>
      </c>
      <c r="H78" s="47">
        <f>-HLOOKUP($A78,'[4]Provider Arm'!$C$676:$AE$706,ROW('[4]Provider Arm'!$A$686)-ROW('[4]Provider Arm'!G$675),FALSE)</f>
        <v>20011</v>
      </c>
      <c r="I78" s="47">
        <f>-HLOOKUP($A78,'[4]Provider Arm'!$C$757:$AF$787,ROW('[4]Provider Arm'!$A$767)-ROW('[4]Provider Arm'!H$756),FALSE)</f>
        <v>21301</v>
      </c>
      <c r="J78" s="47">
        <f>-HLOOKUP($A78,'[4]Provider Arm'!$C$838:$AF$868,ROW('[4]Provider Arm'!$A$848)-ROW('[4]Provider Arm'!I$837),FALSE)</f>
        <v>18184</v>
      </c>
      <c r="K78" s="47">
        <f>-HLOOKUP($A78,'[4]Provider Arm'!$C$919:$AF$949,ROW('[4]Provider Arm'!$A$929)-ROW('[4]Provider Arm'!$A$918),FALSE)</f>
        <v>16509</v>
      </c>
      <c r="L78" s="47">
        <f>-HLOOKUP($A78,'[4]Provider Arm'!$C$1000:$AF$1030,ROW('[4]Provider Arm'!$A$1010)-ROW('[4]Provider Arm'!$A$999),FALSE)</f>
        <v>15809</v>
      </c>
      <c r="M78" s="47">
        <f>-HLOOKUP($A78,'[4]Provider Arm'!$C$1081:$AF$1111,ROW('[4]Provider Arm'!$A$1091)-ROW('[4]Provider Arm'!$A$1080),FALSE)</f>
        <v>11348</v>
      </c>
      <c r="O78" s="209" t="s">
        <v>237</v>
      </c>
      <c r="P78" s="89">
        <f t="shared" si="7"/>
        <v>0.1445303811224587</v>
      </c>
      <c r="Q78" s="89">
        <f t="shared" si="7"/>
        <v>0.13738904992528311</v>
      </c>
      <c r="R78" s="89">
        <f t="shared" si="7"/>
        <v>0.14152208338631189</v>
      </c>
      <c r="S78" s="89">
        <f t="shared" si="7"/>
        <v>0.13942568386077045</v>
      </c>
      <c r="T78" s="89">
        <f t="shared" si="7"/>
        <v>0.12456243365929673</v>
      </c>
      <c r="U78" s="89">
        <f t="shared" si="7"/>
        <v>0.11860724142282601</v>
      </c>
      <c r="V78" s="89">
        <f t="shared" si="7"/>
        <v>0.10655314345351245</v>
      </c>
      <c r="W78" s="89">
        <f t="shared" si="7"/>
        <v>0.1088312683612211</v>
      </c>
      <c r="X78" s="89">
        <f t="shared" si="7"/>
        <v>8.9110609082578243E-2</v>
      </c>
      <c r="Y78" s="89">
        <f t="shared" si="7"/>
        <v>7.8197604194790618E-2</v>
      </c>
      <c r="Z78" s="89">
        <f t="shared" si="7"/>
        <v>7.0365424845328706E-2</v>
      </c>
      <c r="AA78" s="89">
        <f t="shared" si="7"/>
        <v>6.2249381510595232E-2</v>
      </c>
      <c r="AB78" s="89"/>
    </row>
    <row r="79" spans="1:28">
      <c r="A79" s="209" t="s">
        <v>238</v>
      </c>
      <c r="B79" s="47">
        <f>-HLOOKUP($A79,'[4]Provider Arm'!$C$8:$Y$58,ROW('[4]Provider Arm'!$A$26)-ROW('[4]Provider Arm'!A$7),FALSE)</f>
        <v>28707</v>
      </c>
      <c r="C79" s="47">
        <f>-HLOOKUP($A79,'[4]Provider Arm'!$C$140:$Y$190,ROW('[4]Provider Arm'!$A$158)-ROW('[4]Provider Arm'!B$139),FALSE)</f>
        <v>48138</v>
      </c>
      <c r="D79" s="47">
        <f>-HLOOKUP($A79,'[4]Provider Arm'!$C$268:$Y$318,ROW('[4]Provider Arm'!$A$286)-ROW('[4]Provider Arm'!C$267),FALSE)</f>
        <v>49294</v>
      </c>
      <c r="E79" s="47">
        <f>-HLOOKUP($A79,'[4]Provider Arm'!$C$394:$Y$444,ROW('[4]Provider Arm'!$A$412)-ROW('[4]Provider Arm'!D$393),FALSE)</f>
        <v>45914</v>
      </c>
      <c r="F79" s="47">
        <f>-HLOOKUP($A79,'[4]Provider Arm'!$C$516:$AE$546,ROW('[4]Provider Arm'!$A$526)-ROW('[4]Provider Arm'!E$515),FALSE)</f>
        <v>47748</v>
      </c>
      <c r="G79" s="47">
        <f>-HLOOKUP($A79,'[4]Provider Arm'!$C$596:$AE$626,ROW('[4]Provider Arm'!$A$606)-ROW('[4]Provider Arm'!F$595),FALSE)</f>
        <v>60403</v>
      </c>
      <c r="H79" s="47">
        <f>-HLOOKUP($A79,'[4]Provider Arm'!$C$676:$AE$706,ROW('[4]Provider Arm'!$A$686)-ROW('[4]Provider Arm'!G$675),FALSE)</f>
        <v>52354.8</v>
      </c>
      <c r="I79" s="47">
        <f>-HLOOKUP($A79,'[4]Provider Arm'!$C$757:$AF$787,ROW('[4]Provider Arm'!$A$767)-ROW('[4]Provider Arm'!H$756),FALSE)</f>
        <v>51748.328020000001</v>
      </c>
      <c r="J79" s="47">
        <f>-HLOOKUP($A79,'[4]Provider Arm'!$C$838:$AF$868,ROW('[4]Provider Arm'!$A$848)-ROW('[4]Provider Arm'!I$837),FALSE)</f>
        <v>61500.429259999997</v>
      </c>
      <c r="K79" s="47">
        <f>-HLOOKUP($A79,'[4]Provider Arm'!$C$919:$AF$949,ROW('[4]Provider Arm'!$A$929)-ROW('[4]Provider Arm'!$A$918),FALSE)</f>
        <v>78034.01694999999</v>
      </c>
      <c r="L79" s="47">
        <f>-HLOOKUP($A79,'[4]Provider Arm'!$C$1000:$AF$1030,ROW('[4]Provider Arm'!$A$1010)-ROW('[4]Provider Arm'!$A$999),FALSE)</f>
        <v>92386.047210000004</v>
      </c>
      <c r="M79" s="47">
        <f>-HLOOKUP($A79,'[4]Provider Arm'!$C$1081:$AF$1111,ROW('[4]Provider Arm'!$A$1091)-ROW('[4]Provider Arm'!$A$1080),FALSE)</f>
        <v>72168.866439999998</v>
      </c>
      <c r="O79" s="209" t="s">
        <v>238</v>
      </c>
      <c r="P79" s="89">
        <f t="shared" si="7"/>
        <v>5.2167714460793595E-2</v>
      </c>
      <c r="Q79" s="89">
        <f t="shared" si="7"/>
        <v>7.5595373634743279E-2</v>
      </c>
      <c r="R79" s="89">
        <f t="shared" si="7"/>
        <v>7.333845128424861E-2</v>
      </c>
      <c r="S79" s="89">
        <f t="shared" si="7"/>
        <v>5.8914179616776821E-2</v>
      </c>
      <c r="T79" s="89">
        <f t="shared" si="7"/>
        <v>6.5146739797797878E-2</v>
      </c>
      <c r="U79" s="89">
        <f t="shared" si="7"/>
        <v>7.912801071057092E-2</v>
      </c>
      <c r="V79" s="89">
        <f t="shared" si="7"/>
        <v>6.6123221925182649E-2</v>
      </c>
      <c r="W79" s="89">
        <f t="shared" si="7"/>
        <v>6.2936517863991306E-2</v>
      </c>
      <c r="X79" s="89">
        <f t="shared" si="7"/>
        <v>7.3409834264970997E-2</v>
      </c>
      <c r="Y79" s="89">
        <f t="shared" si="7"/>
        <v>8.7855814469267185E-2</v>
      </c>
      <c r="Z79" s="89">
        <f t="shared" si="7"/>
        <v>9.4296538383331574E-2</v>
      </c>
      <c r="AA79" s="89">
        <f t="shared" si="7"/>
        <v>9.0727729024994611E-2</v>
      </c>
      <c r="AB79" s="89"/>
    </row>
    <row r="80" spans="1:28">
      <c r="A80" s="209" t="s">
        <v>239</v>
      </c>
      <c r="B80" s="47">
        <f>-HLOOKUP($A80,'[4]Provider Arm'!$C$8:$Y$58,ROW('[4]Provider Arm'!$A$26)-ROW('[4]Provider Arm'!A$7),FALSE)</f>
        <v>5134.5</v>
      </c>
      <c r="C80" s="47">
        <f>-HLOOKUP($A80,'[4]Provider Arm'!$C$140:$Y$190,ROW('[4]Provider Arm'!$A$158)-ROW('[4]Provider Arm'!B$139),FALSE)</f>
        <v>5458</v>
      </c>
      <c r="D80" s="47">
        <f>-HLOOKUP($A80,'[4]Provider Arm'!$C$268:$Y$318,ROW('[4]Provider Arm'!$A$286)-ROW('[4]Provider Arm'!C$267),FALSE)</f>
        <v>5259</v>
      </c>
      <c r="E80" s="47">
        <f>-HLOOKUP($A80,'[4]Provider Arm'!$C$394:$Y$444,ROW('[4]Provider Arm'!$A$412)-ROW('[4]Provider Arm'!D$393),FALSE)</f>
        <v>5844</v>
      </c>
      <c r="F80" s="47">
        <f>-HLOOKUP($A80,'[4]Provider Arm'!$C$516:$AE$546,ROW('[4]Provider Arm'!$A$526)-ROW('[4]Provider Arm'!E$515),FALSE)</f>
        <v>6333</v>
      </c>
      <c r="G80" s="47">
        <f>-HLOOKUP($A80,'[4]Provider Arm'!$C$596:$AE$626,ROW('[4]Provider Arm'!$A$606)-ROW('[4]Provider Arm'!F$595),FALSE)</f>
        <v>7398</v>
      </c>
      <c r="H80" s="47">
        <f>-HLOOKUP($A80,'[4]Provider Arm'!$C$676:$AE$706,ROW('[4]Provider Arm'!$A$686)-ROW('[4]Provider Arm'!G$675),FALSE)</f>
        <v>9340</v>
      </c>
      <c r="I80" s="47">
        <f>-HLOOKUP($A80,'[4]Provider Arm'!$C$757:$AF$787,ROW('[4]Provider Arm'!$A$767)-ROW('[4]Provider Arm'!H$756),FALSE)</f>
        <v>7628.1</v>
      </c>
      <c r="J80" s="47">
        <f>-HLOOKUP($A80,'[4]Provider Arm'!$C$838:$AF$868,ROW('[4]Provider Arm'!$A$848)-ROW('[4]Provider Arm'!I$837),FALSE)</f>
        <v>7114.3569400000015</v>
      </c>
      <c r="K80" s="47">
        <f>-HLOOKUP($A80,'[4]Provider Arm'!$C$919:$AF$949,ROW('[4]Provider Arm'!$A$929)-ROW('[4]Provider Arm'!$A$918),FALSE)</f>
        <v>8004.979409999999</v>
      </c>
      <c r="L80" s="47">
        <f>-HLOOKUP($A80,'[4]Provider Arm'!$C$1000:$AF$1030,ROW('[4]Provider Arm'!$A$1010)-ROW('[4]Provider Arm'!$A$999),FALSE)</f>
        <v>6997.1177100000023</v>
      </c>
      <c r="M80" s="47">
        <f>-HLOOKUP($A80,'[4]Provider Arm'!$C$1081:$AF$1111,ROW('[4]Provider Arm'!$A$1091)-ROW('[4]Provider Arm'!$A$1080),FALSE)</f>
        <v>6015.4432099999995</v>
      </c>
      <c r="O80" s="209" t="s">
        <v>239</v>
      </c>
      <c r="P80" s="89">
        <f t="shared" si="7"/>
        <v>9.6639406743772416E-2</v>
      </c>
      <c r="Q80" s="89">
        <f t="shared" si="7"/>
        <v>9.185923220627093E-2</v>
      </c>
      <c r="R80" s="89">
        <f t="shared" si="7"/>
        <v>9.0628662025229206E-2</v>
      </c>
      <c r="S80" s="89">
        <f t="shared" si="7"/>
        <v>9.8038886745290141E-2</v>
      </c>
      <c r="T80" s="89">
        <f t="shared" si="7"/>
        <v>0.10284684216509411</v>
      </c>
      <c r="U80" s="89">
        <f t="shared" si="7"/>
        <v>0.12119127186947121</v>
      </c>
      <c r="V80" s="89">
        <f t="shared" si="7"/>
        <v>0.14804013250701367</v>
      </c>
      <c r="W80" s="89">
        <f t="shared" si="7"/>
        <v>0.11779212155839341</v>
      </c>
      <c r="X80" s="89">
        <f t="shared" si="7"/>
        <v>0.10321713910865812</v>
      </c>
      <c r="Y80" s="89">
        <f t="shared" si="7"/>
        <v>0.11500378656292733</v>
      </c>
      <c r="Z80" s="89">
        <f t="shared" si="7"/>
        <v>9.26687300714817E-2</v>
      </c>
      <c r="AA80" s="89">
        <f t="shared" si="7"/>
        <v>0.10238471375457593</v>
      </c>
      <c r="AB80" s="89"/>
    </row>
    <row r="81" spans="1:28">
      <c r="A81" s="209" t="s">
        <v>240</v>
      </c>
      <c r="B81" s="47">
        <f>-HLOOKUP($A81,'[4]Provider Arm'!$C$8:$Y$58,ROW('[4]Provider Arm'!$A$26)-ROW('[4]Provider Arm'!A$7),FALSE)</f>
        <v>44308</v>
      </c>
      <c r="C81" s="47">
        <f>-HLOOKUP($A81,'[4]Provider Arm'!$C$140:$Y$190,ROW('[4]Provider Arm'!$A$158)-ROW('[4]Provider Arm'!B$139),FALSE)</f>
        <v>49672</v>
      </c>
      <c r="D81" s="47">
        <f>-HLOOKUP($A81,'[4]Provider Arm'!$C$268:$Y$318,ROW('[4]Provider Arm'!$A$286)-ROW('[4]Provider Arm'!C$267),FALSE)</f>
        <v>45893</v>
      </c>
      <c r="E81" s="47">
        <f>-HLOOKUP($A81,'[4]Provider Arm'!$C$394:$Y$444,ROW('[4]Provider Arm'!$A$412)-ROW('[4]Provider Arm'!D$393),FALSE)</f>
        <v>40267</v>
      </c>
      <c r="F81" s="47">
        <f>-HLOOKUP($A81,'[4]Provider Arm'!$C$516:$AE$546,ROW('[4]Provider Arm'!$A$526)-ROW('[4]Provider Arm'!E$515),FALSE)</f>
        <v>49785</v>
      </c>
      <c r="G81" s="47">
        <f>-HLOOKUP($A81,'[4]Provider Arm'!$C$596:$AE$626,ROW('[4]Provider Arm'!$A$606)-ROW('[4]Provider Arm'!F$595),FALSE)</f>
        <v>52956</v>
      </c>
      <c r="H81" s="47">
        <f>-HLOOKUP($A81,'[4]Provider Arm'!$C$676:$AE$706,ROW('[4]Provider Arm'!$A$686)-ROW('[4]Provider Arm'!G$675),FALSE)</f>
        <v>58576</v>
      </c>
      <c r="I81" s="47">
        <f>-HLOOKUP($A81,'[4]Provider Arm'!$C$757:$AF$787,ROW('[4]Provider Arm'!$A$767)-ROW('[4]Provider Arm'!H$756),FALSE)</f>
        <v>65644</v>
      </c>
      <c r="J81" s="47">
        <f>-HLOOKUP($A81,'[4]Provider Arm'!$C$838:$AF$868,ROW('[4]Provider Arm'!$A$848)-ROW('[4]Provider Arm'!I$837),FALSE)</f>
        <v>63947</v>
      </c>
      <c r="K81" s="47">
        <f>-HLOOKUP($A81,'[4]Provider Arm'!$C$919:$AF$949,ROW('[4]Provider Arm'!$A$929)-ROW('[4]Provider Arm'!$A$918),FALSE)</f>
        <v>68894</v>
      </c>
      <c r="L81" s="47">
        <f>-HLOOKUP($A81,'[4]Provider Arm'!$C$1000:$AF$1030,ROW('[4]Provider Arm'!$A$1010)-ROW('[4]Provider Arm'!$A$999),FALSE)</f>
        <v>67424</v>
      </c>
      <c r="M81" s="47">
        <f>-HLOOKUP($A81,'[4]Provider Arm'!$C$1081:$AF$1111,ROW('[4]Provider Arm'!$A$1091)-ROW('[4]Provider Arm'!$A$1080),FALSE)</f>
        <v>55957</v>
      </c>
      <c r="O81" s="209" t="s">
        <v>240</v>
      </c>
      <c r="P81" s="89">
        <f t="shared" si="7"/>
        <v>7.8444425166376605E-2</v>
      </c>
      <c r="Q81" s="89">
        <f t="shared" si="7"/>
        <v>7.9126032643152294E-2</v>
      </c>
      <c r="R81" s="89">
        <f t="shared" si="7"/>
        <v>7.0877986325720899E-2</v>
      </c>
      <c r="S81" s="89">
        <f t="shared" si="7"/>
        <v>6.1184797324504159E-2</v>
      </c>
      <c r="T81" s="89">
        <f t="shared" si="7"/>
        <v>7.0585883390447621E-2</v>
      </c>
      <c r="U81" s="89">
        <f t="shared" si="7"/>
        <v>7.2066530488377439E-2</v>
      </c>
      <c r="V81" s="89">
        <f t="shared" si="7"/>
        <v>7.5367599755019277E-2</v>
      </c>
      <c r="W81" s="89">
        <f t="shared" si="7"/>
        <v>7.7669581267673954E-2</v>
      </c>
      <c r="X81" s="89">
        <f t="shared" si="7"/>
        <v>7.4613699928008106E-2</v>
      </c>
      <c r="Y81" s="89">
        <f t="shared" si="7"/>
        <v>7.7877830806134002E-2</v>
      </c>
      <c r="Z81" s="89">
        <f t="shared" si="7"/>
        <v>7.1068311969483128E-2</v>
      </c>
      <c r="AA81" s="89">
        <f t="shared" si="7"/>
        <v>7.6264475830797179E-2</v>
      </c>
      <c r="AB81" s="89"/>
    </row>
    <row r="82" spans="1:28">
      <c r="A82" s="209" t="s">
        <v>241</v>
      </c>
      <c r="B82" s="47">
        <f>-HLOOKUP($A82,'[4]Provider Arm'!$C$8:$Y$58,ROW('[4]Provider Arm'!$A$26)-ROW('[4]Provider Arm'!A$7),FALSE)</f>
        <v>10125</v>
      </c>
      <c r="C82" s="47">
        <f>-HLOOKUP($A82,'[4]Provider Arm'!$C$140:$Y$190,ROW('[4]Provider Arm'!$A$158)-ROW('[4]Provider Arm'!B$139),FALSE)</f>
        <v>13425</v>
      </c>
      <c r="D82" s="47">
        <f>-HLOOKUP($A82,'[4]Provider Arm'!$C$268:$Y$318,ROW('[4]Provider Arm'!$A$286)-ROW('[4]Provider Arm'!C$267),FALSE)</f>
        <v>12087</v>
      </c>
      <c r="E82" s="47">
        <f>-HLOOKUP($A82,'[4]Provider Arm'!$C$394:$Y$444,ROW('[4]Provider Arm'!$A$412)-ROW('[4]Provider Arm'!D$393),FALSE)</f>
        <v>14025</v>
      </c>
      <c r="F82" s="47">
        <f>-HLOOKUP($A82,'[4]Provider Arm'!$C$516:$AE$546,ROW('[4]Provider Arm'!$A$526)-ROW('[4]Provider Arm'!E$515),FALSE)</f>
        <v>12764</v>
      </c>
      <c r="G82" s="47">
        <f>-HLOOKUP($A82,'[4]Provider Arm'!$C$596:$AE$626,ROW('[4]Provider Arm'!$A$606)-ROW('[4]Provider Arm'!F$595),FALSE)</f>
        <v>10194.755000000001</v>
      </c>
      <c r="H82" s="47">
        <f>-HLOOKUP($A82,'[4]Provider Arm'!$C$676:$AE$706,ROW('[4]Provider Arm'!$A$686)-ROW('[4]Provider Arm'!G$675),FALSE)</f>
        <v>7387</v>
      </c>
      <c r="I82" s="47">
        <f>-HLOOKUP($A82,'[4]Provider Arm'!$C$757:$AF$787,ROW('[4]Provider Arm'!$A$767)-ROW('[4]Provider Arm'!H$756),FALSE)</f>
        <v>6737</v>
      </c>
      <c r="J82" s="47">
        <f>-HLOOKUP($A82,'[4]Provider Arm'!$C$838:$AF$868,ROW('[4]Provider Arm'!$A$848)-ROW('[4]Provider Arm'!I$837),FALSE)</f>
        <v>6884</v>
      </c>
      <c r="K82" s="47">
        <f>-HLOOKUP($A82,'[4]Provider Arm'!$C$919:$AF$949,ROW('[4]Provider Arm'!$A$929)-ROW('[4]Provider Arm'!$A$918),FALSE)</f>
        <v>7986.5275200000005</v>
      </c>
      <c r="L82" s="47">
        <f>-HLOOKUP($A82,'[4]Provider Arm'!$C$1000:$AF$1030,ROW('[4]Provider Arm'!$A$1010)-ROW('[4]Provider Arm'!$A$999),FALSE)</f>
        <v>7720.025999999998</v>
      </c>
      <c r="M82" s="47">
        <f>-HLOOKUP($A82,'[4]Provider Arm'!$C$1081:$AF$1111,ROW('[4]Provider Arm'!$A$1091)-ROW('[4]Provider Arm'!$A$1080),FALSE)</f>
        <v>5835</v>
      </c>
      <c r="O82" s="209" t="s">
        <v>241</v>
      </c>
      <c r="P82" s="212">
        <f t="shared" si="7"/>
        <v>0.12958673031881535</v>
      </c>
      <c r="Q82" s="212">
        <f t="shared" si="7"/>
        <v>0.15960102715297922</v>
      </c>
      <c r="R82" s="212">
        <f t="shared" si="7"/>
        <v>0.13681253483982644</v>
      </c>
      <c r="S82" s="212">
        <f t="shared" si="7"/>
        <v>0.1554378304092919</v>
      </c>
      <c r="T82" s="212">
        <f t="shared" si="7"/>
        <v>0.13994079596535466</v>
      </c>
      <c r="U82" s="212">
        <f t="shared" si="7"/>
        <v>0.11116884324026918</v>
      </c>
      <c r="V82" s="212">
        <f t="shared" si="7"/>
        <v>8.3427448500180704E-2</v>
      </c>
      <c r="W82" s="212">
        <f t="shared" si="7"/>
        <v>7.4824794251252269E-2</v>
      </c>
      <c r="X82" s="212">
        <f t="shared" si="7"/>
        <v>7.7665083430170243E-2</v>
      </c>
      <c r="Y82" s="212">
        <f t="shared" si="7"/>
        <v>8.9094218228102276E-2</v>
      </c>
      <c r="Z82" s="212">
        <f t="shared" si="7"/>
        <v>8.3364338391685056E-2</v>
      </c>
      <c r="AA82" s="212">
        <f t="shared" si="7"/>
        <v>8.3391690843349381E-2</v>
      </c>
      <c r="AB82" s="212"/>
    </row>
    <row r="83" spans="1:28">
      <c r="A83" s="210" t="s">
        <v>242</v>
      </c>
      <c r="B83" s="217">
        <f>-HLOOKUP($A83,'[4]Provider Arm'!$C$8:$Y$58,ROW('[4]Provider Arm'!$A$26)-ROW('[4]Provider Arm'!A$7),FALSE)</f>
        <v>9135</v>
      </c>
      <c r="C83" s="217">
        <f>-HLOOKUP($A83,'[4]Provider Arm'!$C$140:$Y$190,ROW('[4]Provider Arm'!$A$158)-ROW('[4]Provider Arm'!B$139),FALSE)</f>
        <v>11047</v>
      </c>
      <c r="D83" s="217">
        <f>-HLOOKUP($A83,'[4]Provider Arm'!$C$268:$Y$318,ROW('[4]Provider Arm'!$A$286)-ROW('[4]Provider Arm'!C$267),FALSE)</f>
        <v>10759</v>
      </c>
      <c r="E83" s="217">
        <f>-HLOOKUP($A83,'[4]Provider Arm'!$C$394:$Y$444,ROW('[4]Provider Arm'!$A$412)-ROW('[4]Provider Arm'!D$393),FALSE)</f>
        <v>10468</v>
      </c>
      <c r="F83" s="217">
        <f>-HLOOKUP($A83,'[4]Provider Arm'!$C$516:$AE$546,ROW('[4]Provider Arm'!$A$526)-ROW('[4]Provider Arm'!E$515),FALSE)</f>
        <v>12209</v>
      </c>
      <c r="G83" s="217">
        <f>-HLOOKUP($A83,'[4]Provider Arm'!$C$596:$AE$626,ROW('[4]Provider Arm'!$A$606)-ROW('[4]Provider Arm'!F$595),FALSE)</f>
        <v>12351</v>
      </c>
      <c r="H83" s="217">
        <f>-HLOOKUP($A83,'[4]Provider Arm'!$C$676:$AE$706,ROW('[4]Provider Arm'!$A$686)-ROW('[4]Provider Arm'!G$675),FALSE)</f>
        <v>12595</v>
      </c>
      <c r="I83" s="217">
        <f>-HLOOKUP($A83,'[4]Provider Arm'!$C$757:$AF$787,ROW('[4]Provider Arm'!$A$767)-ROW('[4]Provider Arm'!H$756),FALSE)</f>
        <v>13138</v>
      </c>
      <c r="J83" s="217">
        <f>-HLOOKUP($A83,'[4]Provider Arm'!$C$838:$AF$868,ROW('[4]Provider Arm'!$A$848)-ROW('[4]Provider Arm'!I$837),FALSE)</f>
        <v>13449</v>
      </c>
      <c r="K83" s="217">
        <f>-HLOOKUP($A83,'[4]Provider Arm'!$C$919:$AF$949,ROW('[4]Provider Arm'!$A$929)-ROW('[4]Provider Arm'!$A$918),FALSE)</f>
        <v>13118</v>
      </c>
      <c r="L83" s="217">
        <f>-HLOOKUP($A83,'[4]Provider Arm'!$C$1000:$AF$1030,ROW('[4]Provider Arm'!$A$1010)-ROW('[4]Provider Arm'!$A$999),FALSE)</f>
        <v>13962</v>
      </c>
      <c r="M83" s="217">
        <f>-HLOOKUP($A83,'[4]Provider Arm'!$C$1081:$AF$1111,ROW('[4]Provider Arm'!$A$1091)-ROW('[4]Provider Arm'!$A$1080),FALSE)</f>
        <v>10441</v>
      </c>
      <c r="O83" s="210" t="s">
        <v>242</v>
      </c>
      <c r="P83" s="211">
        <f t="shared" si="7"/>
        <v>9.1510142749812173E-2</v>
      </c>
      <c r="Q83" s="211">
        <f t="shared" si="7"/>
        <v>0.10179127582330501</v>
      </c>
      <c r="R83" s="211">
        <f t="shared" si="7"/>
        <v>9.8192039864562708E-2</v>
      </c>
      <c r="S83" s="211">
        <f t="shared" si="7"/>
        <v>9.4153624752653362E-2</v>
      </c>
      <c r="T83" s="211">
        <f t="shared" si="7"/>
        <v>0.10725737729401119</v>
      </c>
      <c r="U83" s="211">
        <f t="shared" si="7"/>
        <v>0.10639342567707256</v>
      </c>
      <c r="V83" s="211">
        <f t="shared" si="7"/>
        <v>0.10667671745703711</v>
      </c>
      <c r="W83" s="211">
        <f t="shared" si="7"/>
        <v>0.11021719616446171</v>
      </c>
      <c r="X83" s="211">
        <f t="shared" si="7"/>
        <v>0.11094886897985448</v>
      </c>
      <c r="Y83" s="211">
        <f t="shared" si="7"/>
        <v>0.10585093077487917</v>
      </c>
      <c r="Z83" s="211">
        <f t="shared" si="7"/>
        <v>0.10488438828708364</v>
      </c>
      <c r="AA83" s="211">
        <f t="shared" si="7"/>
        <v>9.852416630494272E-2</v>
      </c>
      <c r="AB83" s="212"/>
    </row>
    <row r="84" spans="1:28">
      <c r="A84" s="213" t="s">
        <v>243</v>
      </c>
      <c r="B84" s="47">
        <f>-HLOOKUP($A84,'[4]Provider Arm'!$C$8:$Y$58,ROW('[4]Provider Arm'!$A$26)-ROW('[4]Provider Arm'!A$7),FALSE)</f>
        <v>378518.23180000007</v>
      </c>
      <c r="C84" s="47">
        <f>-HLOOKUP($A84,'[4]Provider Arm'!$C$140:$Y$190,ROW('[4]Provider Arm'!$A$158)-ROW('[4]Provider Arm'!B$139),FALSE)</f>
        <v>439596.29430000001</v>
      </c>
      <c r="D84" s="47">
        <f>-HLOOKUP($A84,'[4]Provider Arm'!$C$268:$Y$318,ROW('[4]Provider Arm'!$A$286)-ROW('[4]Provider Arm'!C$267),FALSE)</f>
        <v>409755.2893</v>
      </c>
      <c r="E84" s="47">
        <f>-HLOOKUP($A84,'[4]Provider Arm'!$C$394:$Y$444,ROW('[4]Provider Arm'!$A$412)-ROW('[4]Provider Arm'!D$393),FALSE)</f>
        <v>417321.40940000006</v>
      </c>
      <c r="F84" s="47">
        <f>-HLOOKUP($A84,'[4]Provider Arm'!$C$516:$AE$546,ROW('[4]Provider Arm'!$A$526)-ROW('[4]Provider Arm'!E$515),FALSE)</f>
        <v>483877.23648999998</v>
      </c>
      <c r="G84" s="47">
        <f>-HLOOKUP($A84,'[4]Provider Arm'!$C$596:$AE$626,ROW('[4]Provider Arm'!$A$606)-ROW('[4]Provider Arm'!F$595),FALSE)</f>
        <v>495123.26808999997</v>
      </c>
      <c r="H84" s="47">
        <f>-HLOOKUP($A84,'[4]Provider Arm'!$C$676:$AE$706,ROW('[4]Provider Arm'!$A$686)-ROW('[4]Provider Arm'!G$675),FALSE)</f>
        <v>499587.77222999994</v>
      </c>
      <c r="I84" s="47">
        <f>-HLOOKUP($A84,'[4]Provider Arm'!$C$757:$AF$787,ROW('[4]Provider Arm'!$A$767)-ROW('[4]Provider Arm'!H$756),FALSE)</f>
        <v>550573.76124999998</v>
      </c>
      <c r="J84" s="47">
        <f>-HLOOKUP($A84,'[4]Provider Arm'!$C$838:$AF$868,ROW('[4]Provider Arm'!$A$848)-ROW('[4]Provider Arm'!I$837),FALSE)</f>
        <v>588347.64165999996</v>
      </c>
      <c r="K84" s="47">
        <f>-HLOOKUP($A84,'[4]Provider Arm'!$C$919:$AF$949,ROW('[4]Provider Arm'!$A$929)-ROW('[4]Provider Arm'!$A$918),FALSE)</f>
        <v>635314.14925999998</v>
      </c>
      <c r="L84" s="47">
        <f>-HLOOKUP($A84,'[4]Provider Arm'!$C$1000:$AF$1030,ROW('[4]Provider Arm'!$A$1010)-ROW('[4]Provider Arm'!$A$999),FALSE)</f>
        <v>699932.17043000006</v>
      </c>
      <c r="M84" s="47">
        <f>-HLOOKUP($A84,'[4]Provider Arm'!$C$1081:$AF$1111,ROW('[4]Provider Arm'!$A$1091)-ROW('[4]Provider Arm'!$A$1080),FALSE)</f>
        <v>562417.74945</v>
      </c>
      <c r="O84" s="213" t="s">
        <v>243</v>
      </c>
      <c r="P84" s="89">
        <f t="shared" si="7"/>
        <v>6.037804811699056E-2</v>
      </c>
      <c r="Q84" s="89">
        <f t="shared" si="7"/>
        <v>6.4017958031735281E-2</v>
      </c>
      <c r="R84" s="89">
        <f t="shared" si="7"/>
        <v>5.6851844815597727E-2</v>
      </c>
      <c r="S84" s="89">
        <f t="shared" si="7"/>
        <v>5.5027365620086165E-2</v>
      </c>
      <c r="T84" s="89">
        <f t="shared" si="7"/>
        <v>6.2117271430807648E-2</v>
      </c>
      <c r="U84" s="89">
        <f t="shared" si="7"/>
        <v>6.1768595688433833E-2</v>
      </c>
      <c r="V84" s="89">
        <f t="shared" si="7"/>
        <v>6.0176599692667608E-2</v>
      </c>
      <c r="W84" s="89">
        <f t="shared" si="7"/>
        <v>6.3605842689519437E-2</v>
      </c>
      <c r="X84" s="89">
        <f t="shared" si="7"/>
        <v>6.6056691588521732E-2</v>
      </c>
      <c r="Y84" s="89">
        <f t="shared" si="7"/>
        <v>6.8756943978950935E-2</v>
      </c>
      <c r="Z84" s="89">
        <f t="shared" si="7"/>
        <v>7.0988470734783801E-2</v>
      </c>
      <c r="AA84" s="89">
        <f t="shared" si="7"/>
        <v>7.2028070051503565E-2</v>
      </c>
      <c r="AB84" s="89"/>
    </row>
    <row r="86" spans="1:28">
      <c r="A86" s="204" t="s">
        <v>255</v>
      </c>
      <c r="K86" s="9"/>
      <c r="L86" s="9"/>
      <c r="M86" s="9"/>
      <c r="O86" s="204" t="s">
        <v>256</v>
      </c>
      <c r="Y86" s="9"/>
    </row>
    <row r="87" spans="1:28">
      <c r="A87" s="209" t="s">
        <v>221</v>
      </c>
      <c r="B87" s="53">
        <f>B112-B62-B37</f>
        <v>375622.80559999996</v>
      </c>
      <c r="C87" s="53">
        <f t="shared" ref="C87:J87" si="8">C112-C62-C37</f>
        <v>404023.36800000002</v>
      </c>
      <c r="D87" s="53">
        <f t="shared" si="8"/>
        <v>330480.26700000011</v>
      </c>
      <c r="E87" s="53">
        <f t="shared" si="8"/>
        <v>430332.34399999992</v>
      </c>
      <c r="F87" s="53">
        <f t="shared" si="8"/>
        <v>402177.70304000017</v>
      </c>
      <c r="G87" s="53">
        <f t="shared" si="8"/>
        <v>409294.09124999982</v>
      </c>
      <c r="H87" s="53">
        <f t="shared" si="8"/>
        <v>415235.22799999989</v>
      </c>
      <c r="I87" s="53">
        <f t="shared" si="8"/>
        <v>425638.59900000016</v>
      </c>
      <c r="J87" s="53">
        <f t="shared" si="8"/>
        <v>439614.8879999998</v>
      </c>
      <c r="K87" s="47">
        <f>-HLOOKUP($A87,'[4]Provider Arm'!$C$919:$AF$949,ROW('[4]Provider Arm'!$A$939)-ROW('[4]Provider Arm'!$A$918),FALSE)</f>
        <v>466127.21</v>
      </c>
      <c r="L87" s="47">
        <f>-HLOOKUP($A87,'[4]Provider Arm'!$C$1000:$AF$1030,ROW('[4]Provider Arm'!$A$1020)-ROW('[4]Provider Arm'!$A$999),FALSE)</f>
        <v>489420.64899999992</v>
      </c>
      <c r="M87" s="47">
        <f>-HLOOKUP($A87,'[4]Provider Arm'!$C$1081:$AF$1111,ROW('[4]Provider Arm'!$A$1101)-ROW('[4]Provider Arm'!$A$1080),FALSE)</f>
        <v>383425.77600000001</v>
      </c>
      <c r="O87" s="209" t="s">
        <v>221</v>
      </c>
      <c r="P87" s="89">
        <f>B87/B112</f>
        <v>0.3662603356177111</v>
      </c>
      <c r="Q87" s="89">
        <f t="shared" ref="Q87:AA102" si="9">C87/C112</f>
        <v>0.36647371976792642</v>
      </c>
      <c r="R87" s="89">
        <f t="shared" si="9"/>
        <v>0.28759277149171469</v>
      </c>
      <c r="S87" s="89">
        <f t="shared" si="9"/>
        <v>0.35898519674589446</v>
      </c>
      <c r="T87" s="89">
        <f t="shared" si="9"/>
        <v>0.32568970243804996</v>
      </c>
      <c r="U87" s="89">
        <f t="shared" si="9"/>
        <v>0.32475362513649325</v>
      </c>
      <c r="V87" s="89">
        <f t="shared" si="9"/>
        <v>0.31897270337213968</v>
      </c>
      <c r="W87" s="89">
        <f t="shared" si="9"/>
        <v>0.31649366783828042</v>
      </c>
      <c r="X87" s="89">
        <f t="shared" si="9"/>
        <v>0.3137244613306665</v>
      </c>
      <c r="Y87" s="89">
        <f t="shared" si="9"/>
        <v>0.31523154425037408</v>
      </c>
      <c r="Z87" s="89">
        <f t="shared" si="9"/>
        <v>0.31310523810972435</v>
      </c>
      <c r="AA87" s="89">
        <f t="shared" si="9"/>
        <v>0.30947604015356511</v>
      </c>
      <c r="AB87" s="89"/>
    </row>
    <row r="88" spans="1:28">
      <c r="A88" s="209" t="s">
        <v>222</v>
      </c>
      <c r="B88" s="53">
        <f t="shared" ref="B88:J97" si="10">B113-B63-B38</f>
        <v>75065</v>
      </c>
      <c r="C88" s="53">
        <f t="shared" si="10"/>
        <v>88864</v>
      </c>
      <c r="D88" s="53">
        <f t="shared" si="10"/>
        <v>91784</v>
      </c>
      <c r="E88" s="53">
        <f t="shared" si="10"/>
        <v>100464</v>
      </c>
      <c r="F88" s="53">
        <f t="shared" si="10"/>
        <v>108316</v>
      </c>
      <c r="G88" s="53">
        <f t="shared" si="10"/>
        <v>117657</v>
      </c>
      <c r="H88" s="53">
        <f t="shared" si="10"/>
        <v>108660</v>
      </c>
      <c r="I88" s="53">
        <f t="shared" si="10"/>
        <v>114346</v>
      </c>
      <c r="J88" s="53">
        <f t="shared" si="10"/>
        <v>120235.93559000012</v>
      </c>
      <c r="K88" s="47">
        <f>-HLOOKUP($A88,'[4]Provider Arm'!$C$919:$AF$949,ROW('[4]Provider Arm'!$A$939)-ROW('[4]Provider Arm'!$A$918),FALSE)</f>
        <v>125250.50042</v>
      </c>
      <c r="L88" s="47">
        <f>-HLOOKUP($A88,'[4]Provider Arm'!$C$1000:$AF$1030,ROW('[4]Provider Arm'!$A$1020)-ROW('[4]Provider Arm'!$A$999),FALSE)</f>
        <v>136016.43286999999</v>
      </c>
      <c r="M88" s="47">
        <f>-HLOOKUP($A88,'[4]Provider Arm'!$C$1081:$AF$1111,ROW('[4]Provider Arm'!$A$1101)-ROW('[4]Provider Arm'!$A$1080),FALSE)</f>
        <v>105428.79113000001</v>
      </c>
      <c r="O88" s="209" t="s">
        <v>222</v>
      </c>
      <c r="P88" s="89">
        <f t="shared" ref="P88:AA109" si="11">B88/B113</f>
        <v>0.28955235395089585</v>
      </c>
      <c r="Q88" s="89">
        <f t="shared" si="9"/>
        <v>0.30873672398039126</v>
      </c>
      <c r="R88" s="89">
        <f t="shared" si="9"/>
        <v>0.30465594099664423</v>
      </c>
      <c r="S88" s="89">
        <f t="shared" si="9"/>
        <v>0.32642557754167073</v>
      </c>
      <c r="T88" s="89">
        <f t="shared" si="9"/>
        <v>0.33339386682836292</v>
      </c>
      <c r="U88" s="89">
        <f t="shared" si="9"/>
        <v>0.34778688863796253</v>
      </c>
      <c r="V88" s="89">
        <f t="shared" si="9"/>
        <v>0.31962771871819462</v>
      </c>
      <c r="W88" s="89">
        <f t="shared" si="9"/>
        <v>0.31663039204284282</v>
      </c>
      <c r="X88" s="89">
        <f t="shared" si="9"/>
        <v>0.31739775892573369</v>
      </c>
      <c r="Y88" s="89">
        <f t="shared" si="9"/>
        <v>0.31939343426725691</v>
      </c>
      <c r="Z88" s="89">
        <f t="shared" si="9"/>
        <v>0.31917004220384548</v>
      </c>
      <c r="AA88" s="89">
        <f t="shared" si="9"/>
        <v>0.31330460525051818</v>
      </c>
      <c r="AB88" s="89"/>
    </row>
    <row r="89" spans="1:28">
      <c r="A89" s="209" t="s">
        <v>223</v>
      </c>
      <c r="B89" s="53">
        <f t="shared" si="10"/>
        <v>238538</v>
      </c>
      <c r="C89" s="53">
        <f t="shared" si="10"/>
        <v>251026</v>
      </c>
      <c r="D89" s="53">
        <f t="shared" si="10"/>
        <v>256895</v>
      </c>
      <c r="E89" s="53">
        <f t="shared" si="10"/>
        <v>267246</v>
      </c>
      <c r="F89" s="53">
        <f t="shared" si="10"/>
        <v>294672</v>
      </c>
      <c r="G89" s="53">
        <f t="shared" si="10"/>
        <v>306650</v>
      </c>
      <c r="H89" s="53">
        <f t="shared" si="10"/>
        <v>315126</v>
      </c>
      <c r="I89" s="53">
        <f t="shared" si="10"/>
        <v>333015.56000000006</v>
      </c>
      <c r="J89" s="53">
        <f t="shared" si="10"/>
        <v>319363</v>
      </c>
      <c r="K89" s="47">
        <f>-HLOOKUP($A89,'[4]Provider Arm'!$C$919:$AF$949,ROW('[4]Provider Arm'!$A$939)-ROW('[4]Provider Arm'!$A$918),FALSE)</f>
        <v>340115</v>
      </c>
      <c r="L89" s="47">
        <f>-HLOOKUP($A89,'[4]Provider Arm'!$C$1000:$AF$1030,ROW('[4]Provider Arm'!$A$1020)-ROW('[4]Provider Arm'!$A$999),FALSE)</f>
        <v>341960</v>
      </c>
      <c r="M89" s="47">
        <f>-HLOOKUP($A89,'[4]Provider Arm'!$C$1081:$AF$1111,ROW('[4]Provider Arm'!$A$1101)-ROW('[4]Provider Arm'!$A$1080),FALSE)</f>
        <v>254445</v>
      </c>
      <c r="O89" s="209" t="s">
        <v>223</v>
      </c>
      <c r="P89" s="89">
        <f t="shared" si="11"/>
        <v>0.33454273120092226</v>
      </c>
      <c r="Q89" s="89">
        <f t="shared" si="9"/>
        <v>0.32811154114105634</v>
      </c>
      <c r="R89" s="89">
        <f t="shared" si="9"/>
        <v>0.32069583237106064</v>
      </c>
      <c r="S89" s="89">
        <f t="shared" si="9"/>
        <v>0.32022344681814752</v>
      </c>
      <c r="T89" s="89">
        <f t="shared" si="9"/>
        <v>0.33123430506127349</v>
      </c>
      <c r="U89" s="89">
        <f t="shared" si="9"/>
        <v>0.33344025748786232</v>
      </c>
      <c r="V89" s="89">
        <f t="shared" si="9"/>
        <v>0.33171088060867238</v>
      </c>
      <c r="W89" s="89">
        <f t="shared" si="9"/>
        <v>0.33624093095573709</v>
      </c>
      <c r="X89" s="89">
        <f t="shared" si="9"/>
        <v>0.3155205902519122</v>
      </c>
      <c r="Y89" s="89">
        <f t="shared" si="9"/>
        <v>0.32055474920359656</v>
      </c>
      <c r="Z89" s="89">
        <f t="shared" si="9"/>
        <v>0.30660396390257461</v>
      </c>
      <c r="AA89" s="89">
        <f t="shared" si="9"/>
        <v>0.28976999019466049</v>
      </c>
      <c r="AB89" s="89"/>
    </row>
    <row r="90" spans="1:28">
      <c r="A90" s="209" t="s">
        <v>224</v>
      </c>
      <c r="B90" s="53">
        <f t="shared" si="10"/>
        <v>171498.14480000001</v>
      </c>
      <c r="C90" s="53">
        <f t="shared" si="10"/>
        <v>175413.79199999996</v>
      </c>
      <c r="D90" s="53">
        <f t="shared" si="10"/>
        <v>210956.42320000002</v>
      </c>
      <c r="E90" s="53">
        <f t="shared" si="10"/>
        <v>206765.49340000004</v>
      </c>
      <c r="F90" s="53">
        <f t="shared" si="10"/>
        <v>223900.08407000004</v>
      </c>
      <c r="G90" s="53">
        <f t="shared" si="10"/>
        <v>217350.06709999999</v>
      </c>
      <c r="H90" s="53">
        <f t="shared" si="10"/>
        <v>226350.18638000003</v>
      </c>
      <c r="I90" s="53">
        <f t="shared" si="10"/>
        <v>228329.55416000017</v>
      </c>
      <c r="J90" s="53">
        <f t="shared" si="10"/>
        <v>221846.5701700002</v>
      </c>
      <c r="K90" s="47">
        <f>-HLOOKUP($A90,'[4]Provider Arm'!$C$919:$AF$949,ROW('[4]Provider Arm'!$A$939)-ROW('[4]Provider Arm'!$A$918),FALSE)</f>
        <v>220474.81763999999</v>
      </c>
      <c r="L90" s="47">
        <f>-HLOOKUP($A90,'[4]Provider Arm'!$C$1000:$AF$1030,ROW('[4]Provider Arm'!$A$1020)-ROW('[4]Provider Arm'!$A$999),FALSE)</f>
        <v>237310.67695999998</v>
      </c>
      <c r="M90" s="47">
        <f>-HLOOKUP($A90,'[4]Provider Arm'!$C$1081:$AF$1111,ROW('[4]Provider Arm'!$A$1101)-ROW('[4]Provider Arm'!$A$1080),FALSE)</f>
        <v>180949.65574000002</v>
      </c>
      <c r="O90" s="209" t="s">
        <v>224</v>
      </c>
      <c r="P90" s="89">
        <f t="shared" si="11"/>
        <v>0.35865097581969269</v>
      </c>
      <c r="Q90" s="89">
        <f t="shared" si="9"/>
        <v>0.3349452117695273</v>
      </c>
      <c r="R90" s="89">
        <f t="shared" si="9"/>
        <v>0.36543046887619612</v>
      </c>
      <c r="S90" s="89">
        <f t="shared" si="9"/>
        <v>0.35918750859654358</v>
      </c>
      <c r="T90" s="89">
        <f t="shared" si="9"/>
        <v>0.3656135272322113</v>
      </c>
      <c r="U90" s="89">
        <f t="shared" si="9"/>
        <v>0.34784286175919793</v>
      </c>
      <c r="V90" s="89">
        <f t="shared" si="9"/>
        <v>0.34819538745513473</v>
      </c>
      <c r="W90" s="89">
        <f t="shared" si="9"/>
        <v>0.34394064601624336</v>
      </c>
      <c r="X90" s="89">
        <f t="shared" si="9"/>
        <v>0.32331460149253094</v>
      </c>
      <c r="Y90" s="89">
        <f t="shared" si="9"/>
        <v>0.31567023491111273</v>
      </c>
      <c r="Z90" s="89">
        <f t="shared" si="9"/>
        <v>0.32202163155327634</v>
      </c>
      <c r="AA90" s="89">
        <f t="shared" si="9"/>
        <v>0.3132742766463969</v>
      </c>
      <c r="AB90" s="89"/>
    </row>
    <row r="91" spans="1:28">
      <c r="A91" s="209" t="s">
        <v>225</v>
      </c>
      <c r="B91" s="53">
        <f t="shared" si="10"/>
        <v>174115</v>
      </c>
      <c r="C91" s="53">
        <f t="shared" si="10"/>
        <v>183148</v>
      </c>
      <c r="D91" s="53">
        <f t="shared" si="10"/>
        <v>185275</v>
      </c>
      <c r="E91" s="53">
        <f t="shared" si="10"/>
        <v>278847</v>
      </c>
      <c r="F91" s="53">
        <f t="shared" si="10"/>
        <v>203565</v>
      </c>
      <c r="G91" s="53">
        <f t="shared" si="10"/>
        <v>199510</v>
      </c>
      <c r="H91" s="53">
        <f t="shared" si="10"/>
        <v>216243</v>
      </c>
      <c r="I91" s="53">
        <f t="shared" si="10"/>
        <v>227310</v>
      </c>
      <c r="J91" s="53">
        <f t="shared" si="10"/>
        <v>234100</v>
      </c>
      <c r="K91" s="47">
        <f>-HLOOKUP($A91,'[4]Provider Arm'!$C$919:$AF$949,ROW('[4]Provider Arm'!$A$939)-ROW('[4]Provider Arm'!$A$918),FALSE)</f>
        <v>233749</v>
      </c>
      <c r="L91" s="47">
        <f>-HLOOKUP($A91,'[4]Provider Arm'!$C$1000:$AF$1030,ROW('[4]Provider Arm'!$A$1020)-ROW('[4]Provider Arm'!$A$999),FALSE)</f>
        <v>260501</v>
      </c>
      <c r="M91" s="47">
        <f>-HLOOKUP($A91,'[4]Provider Arm'!$C$1081:$AF$1111,ROW('[4]Provider Arm'!$A$1101)-ROW('[4]Provider Arm'!$A$1080),FALSE)</f>
        <v>205751</v>
      </c>
      <c r="O91" s="209" t="s">
        <v>225</v>
      </c>
      <c r="P91" s="89">
        <f t="shared" si="11"/>
        <v>0.31084248731118524</v>
      </c>
      <c r="Q91" s="89">
        <f t="shared" si="9"/>
        <v>0.29591307508987358</v>
      </c>
      <c r="R91" s="89">
        <f t="shared" si="9"/>
        <v>0.28243097190400623</v>
      </c>
      <c r="S91" s="89">
        <f t="shared" si="9"/>
        <v>0.35764563137926875</v>
      </c>
      <c r="T91" s="89">
        <f t="shared" si="9"/>
        <v>0.27620197689327897</v>
      </c>
      <c r="U91" s="89">
        <f t="shared" si="9"/>
        <v>0.26103897463273201</v>
      </c>
      <c r="V91" s="89">
        <f t="shared" si="9"/>
        <v>0.2709462312508536</v>
      </c>
      <c r="W91" s="89">
        <f t="shared" si="9"/>
        <v>0.27226667305481028</v>
      </c>
      <c r="X91" s="89">
        <f t="shared" si="9"/>
        <v>0.2722890893610686</v>
      </c>
      <c r="Y91" s="89">
        <f t="shared" si="9"/>
        <v>0.26039727603788948</v>
      </c>
      <c r="Z91" s="89">
        <f t="shared" si="9"/>
        <v>0.2709279324066004</v>
      </c>
      <c r="AA91" s="89">
        <f t="shared" si="9"/>
        <v>0.26956692629689555</v>
      </c>
      <c r="AB91" s="89"/>
    </row>
    <row r="92" spans="1:28">
      <c r="A92" s="209" t="s">
        <v>226</v>
      </c>
      <c r="B92" s="53">
        <f t="shared" si="10"/>
        <v>67353.566400000011</v>
      </c>
      <c r="C92" s="53">
        <f t="shared" si="10"/>
        <v>76362.032300000021</v>
      </c>
      <c r="D92" s="53">
        <f t="shared" si="10"/>
        <v>76363.539100000024</v>
      </c>
      <c r="E92" s="53">
        <f t="shared" si="10"/>
        <v>78143.076700000005</v>
      </c>
      <c r="F92" s="53">
        <f t="shared" si="10"/>
        <v>80981.046270000079</v>
      </c>
      <c r="G92" s="53">
        <f t="shared" si="10"/>
        <v>82613.066229999939</v>
      </c>
      <c r="H92" s="53">
        <f t="shared" si="10"/>
        <v>86876.051979999902</v>
      </c>
      <c r="I92" s="53">
        <f t="shared" si="10"/>
        <v>89339.042879999935</v>
      </c>
      <c r="J92" s="53">
        <f t="shared" si="10"/>
        <v>88931.93797999958</v>
      </c>
      <c r="K92" s="47">
        <f>-HLOOKUP($A92,'[4]Provider Arm'!$C$919:$AF$949,ROW('[4]Provider Arm'!$A$939)-ROW('[4]Provider Arm'!$A$918),FALSE)</f>
        <v>92144.964139999996</v>
      </c>
      <c r="L92" s="47">
        <f>-HLOOKUP($A92,'[4]Provider Arm'!$C$1000:$AF$1030,ROW('[4]Provider Arm'!$A$1020)-ROW('[4]Provider Arm'!$A$999),FALSE)</f>
        <v>98671.345939999999</v>
      </c>
      <c r="M92" s="47">
        <f>-HLOOKUP($A92,'[4]Provider Arm'!$C$1081:$AF$1111,ROW('[4]Provider Arm'!$A$1101)-ROW('[4]Provider Arm'!$A$1080),FALSE)</f>
        <v>78727.718820000009</v>
      </c>
      <c r="O92" s="209" t="s">
        <v>226</v>
      </c>
      <c r="P92" s="89">
        <f t="shared" si="11"/>
        <v>0.30816379899610336</v>
      </c>
      <c r="Q92" s="89">
        <f t="shared" si="9"/>
        <v>0.32317714848826112</v>
      </c>
      <c r="R92" s="89">
        <f t="shared" si="9"/>
        <v>0.31885287708634558</v>
      </c>
      <c r="S92" s="89">
        <f t="shared" si="9"/>
        <v>0.32290212625665871</v>
      </c>
      <c r="T92" s="89">
        <f t="shared" si="9"/>
        <v>0.31961116034122838</v>
      </c>
      <c r="U92" s="89">
        <f t="shared" si="9"/>
        <v>0.31917528433284026</v>
      </c>
      <c r="V92" s="89">
        <f t="shared" si="9"/>
        <v>0.31901134308929935</v>
      </c>
      <c r="W92" s="89">
        <f t="shared" si="9"/>
        <v>0.31840944709666091</v>
      </c>
      <c r="X92" s="89">
        <f t="shared" si="9"/>
        <v>0.30649411955933525</v>
      </c>
      <c r="Y92" s="89">
        <f t="shared" si="9"/>
        <v>0.30214716970099831</v>
      </c>
      <c r="Z92" s="89">
        <f t="shared" si="9"/>
        <v>0.30225393228519787</v>
      </c>
      <c r="AA92" s="89">
        <f t="shared" si="9"/>
        <v>0.30243004223140735</v>
      </c>
      <c r="AB92" s="89"/>
    </row>
    <row r="93" spans="1:28">
      <c r="A93" s="209" t="s">
        <v>227</v>
      </c>
      <c r="B93" s="53">
        <f t="shared" si="10"/>
        <v>49643</v>
      </c>
      <c r="C93" s="53">
        <f t="shared" si="10"/>
        <v>53700</v>
      </c>
      <c r="D93" s="53">
        <f t="shared" si="10"/>
        <v>57676</v>
      </c>
      <c r="E93" s="53">
        <f t="shared" si="10"/>
        <v>59227</v>
      </c>
      <c r="F93" s="53">
        <f t="shared" si="10"/>
        <v>61514</v>
      </c>
      <c r="G93" s="53">
        <f t="shared" si="10"/>
        <v>61966</v>
      </c>
      <c r="H93" s="53">
        <f t="shared" si="10"/>
        <v>63254</v>
      </c>
      <c r="I93" s="53">
        <f t="shared" si="10"/>
        <v>65701</v>
      </c>
      <c r="J93" s="53">
        <f t="shared" si="10"/>
        <v>65822</v>
      </c>
      <c r="K93" s="47">
        <f>-HLOOKUP($A93,'[4]Provider Arm'!$C$919:$AF$949,ROW('[4]Provider Arm'!$A$939)-ROW('[4]Provider Arm'!$A$918),FALSE)</f>
        <v>63921</v>
      </c>
      <c r="L93" s="47">
        <f>-HLOOKUP($A93,'[4]Provider Arm'!$C$1000:$AF$1030,ROW('[4]Provider Arm'!$A$1020)-ROW('[4]Provider Arm'!$A$999),FALSE)</f>
        <v>68515</v>
      </c>
      <c r="M93" s="47">
        <f>-HLOOKUP($A93,'[4]Provider Arm'!$C$1081:$AF$1111,ROW('[4]Provider Arm'!$A$1101)-ROW('[4]Provider Arm'!$A$1080),FALSE)</f>
        <v>51681.2264</v>
      </c>
      <c r="O93" s="209" t="s">
        <v>227</v>
      </c>
      <c r="P93" s="89">
        <f t="shared" si="11"/>
        <v>0.27946160168432432</v>
      </c>
      <c r="Q93" s="89">
        <f t="shared" si="9"/>
        <v>0.27251966505962955</v>
      </c>
      <c r="R93" s="89">
        <f t="shared" si="9"/>
        <v>0.2767031279984648</v>
      </c>
      <c r="S93" s="89">
        <f t="shared" si="9"/>
        <v>0.27726568388332062</v>
      </c>
      <c r="T93" s="89">
        <f t="shared" si="9"/>
        <v>0.28131230907128613</v>
      </c>
      <c r="U93" s="89">
        <f t="shared" si="9"/>
        <v>0.27617281859752019</v>
      </c>
      <c r="V93" s="89">
        <f t="shared" si="9"/>
        <v>0.27408431296932617</v>
      </c>
      <c r="W93" s="89">
        <f t="shared" si="9"/>
        <v>0.27044014801947797</v>
      </c>
      <c r="X93" s="89">
        <f t="shared" si="9"/>
        <v>0.26453661281247487</v>
      </c>
      <c r="Y93" s="89">
        <f t="shared" si="9"/>
        <v>0.25929336362161287</v>
      </c>
      <c r="Z93" s="89">
        <f t="shared" si="9"/>
        <v>0.26478613056315603</v>
      </c>
      <c r="AA93" s="89">
        <f t="shared" si="9"/>
        <v>0.25529268089193508</v>
      </c>
      <c r="AB93" s="89"/>
    </row>
    <row r="94" spans="1:28">
      <c r="A94" s="209" t="s">
        <v>228</v>
      </c>
      <c r="B94" s="53">
        <f t="shared" si="10"/>
        <v>38788</v>
      </c>
      <c r="C94" s="53">
        <f t="shared" si="10"/>
        <v>39735</v>
      </c>
      <c r="D94" s="53">
        <f t="shared" si="10"/>
        <v>43506.919500000004</v>
      </c>
      <c r="E94" s="53">
        <f t="shared" si="10"/>
        <v>45100</v>
      </c>
      <c r="F94" s="53">
        <f t="shared" si="10"/>
        <v>49489</v>
      </c>
      <c r="G94" s="53">
        <f t="shared" si="10"/>
        <v>52809</v>
      </c>
      <c r="H94" s="53">
        <f t="shared" si="10"/>
        <v>54314</v>
      </c>
      <c r="I94" s="53">
        <f t="shared" si="10"/>
        <v>56404</v>
      </c>
      <c r="J94" s="53">
        <f t="shared" si="10"/>
        <v>57038</v>
      </c>
      <c r="K94" s="47">
        <f>-HLOOKUP($A94,'[4]Provider Arm'!$C$919:$AF$949,ROW('[4]Provider Arm'!$A$939)-ROW('[4]Provider Arm'!$A$918),FALSE)</f>
        <v>56810</v>
      </c>
      <c r="L94" s="47">
        <f>-HLOOKUP($A94,'[4]Provider Arm'!$C$1000:$AF$1030,ROW('[4]Provider Arm'!$A$1020)-ROW('[4]Provider Arm'!$A$999),FALSE)</f>
        <v>64382</v>
      </c>
      <c r="M94" s="47">
        <f>-HLOOKUP($A94,'[4]Provider Arm'!$C$1081:$AF$1111,ROW('[4]Provider Arm'!$A$1101)-ROW('[4]Provider Arm'!$A$1080),FALSE)</f>
        <v>47119</v>
      </c>
      <c r="O94" s="209" t="s">
        <v>228</v>
      </c>
      <c r="P94" s="89">
        <f t="shared" si="11"/>
        <v>0.31622370781020709</v>
      </c>
      <c r="Q94" s="89">
        <f t="shared" si="9"/>
        <v>0.30099308401445313</v>
      </c>
      <c r="R94" s="89">
        <f t="shared" si="9"/>
        <v>0.30971556576598536</v>
      </c>
      <c r="S94" s="89">
        <f t="shared" si="9"/>
        <v>0.31115705481861022</v>
      </c>
      <c r="T94" s="89">
        <f t="shared" si="9"/>
        <v>0.32239760786434141</v>
      </c>
      <c r="U94" s="89">
        <f t="shared" si="9"/>
        <v>0.33827636568617403</v>
      </c>
      <c r="V94" s="89">
        <f t="shared" si="9"/>
        <v>0.33989586723071918</v>
      </c>
      <c r="W94" s="89">
        <f t="shared" si="9"/>
        <v>0.33160292777565475</v>
      </c>
      <c r="X94" s="89">
        <f t="shared" si="9"/>
        <v>0.32760502222783822</v>
      </c>
      <c r="Y94" s="89">
        <f t="shared" si="9"/>
        <v>0.31666843181957538</v>
      </c>
      <c r="Z94" s="89">
        <f t="shared" si="9"/>
        <v>0.32403893580826026</v>
      </c>
      <c r="AA94" s="89">
        <f t="shared" si="9"/>
        <v>0.30161951094610168</v>
      </c>
      <c r="AB94" s="89"/>
    </row>
    <row r="95" spans="1:28">
      <c r="A95" s="209" t="s">
        <v>229</v>
      </c>
      <c r="B95" s="53">
        <f t="shared" si="10"/>
        <v>105728</v>
      </c>
      <c r="C95" s="53">
        <f t="shared" si="10"/>
        <v>112004</v>
      </c>
      <c r="D95" s="53">
        <f t="shared" si="10"/>
        <v>118866</v>
      </c>
      <c r="E95" s="53">
        <f t="shared" si="10"/>
        <v>121345</v>
      </c>
      <c r="F95" s="53">
        <f t="shared" si="10"/>
        <v>129519</v>
      </c>
      <c r="G95" s="53">
        <f t="shared" si="10"/>
        <v>139632</v>
      </c>
      <c r="H95" s="53">
        <f t="shared" si="10"/>
        <v>144948</v>
      </c>
      <c r="I95" s="53">
        <f t="shared" si="10"/>
        <v>143650</v>
      </c>
      <c r="J95" s="53">
        <f t="shared" si="10"/>
        <v>136450</v>
      </c>
      <c r="K95" s="47">
        <f>-HLOOKUP($A95,'[4]Provider Arm'!$C$919:$AF$949,ROW('[4]Provider Arm'!$A$939)-ROW('[4]Provider Arm'!$A$918),FALSE)</f>
        <v>141597</v>
      </c>
      <c r="L95" s="47">
        <f>-HLOOKUP($A95,'[4]Provider Arm'!$C$1000:$AF$1030,ROW('[4]Provider Arm'!$A$1020)-ROW('[4]Provider Arm'!$A$999),FALSE)</f>
        <v>147259.97151</v>
      </c>
      <c r="M95" s="47">
        <f>-HLOOKUP($A95,'[4]Provider Arm'!$C$1081:$AF$1111,ROW('[4]Provider Arm'!$A$1101)-ROW('[4]Provider Arm'!$A$1080),FALSE)</f>
        <v>114760.41297000002</v>
      </c>
      <c r="O95" s="209" t="s">
        <v>229</v>
      </c>
      <c r="P95" s="89">
        <f t="shared" si="11"/>
        <v>0.39548436810329995</v>
      </c>
      <c r="Q95" s="89">
        <f t="shared" si="9"/>
        <v>0.38881637413908021</v>
      </c>
      <c r="R95" s="89">
        <f t="shared" si="9"/>
        <v>0.39332252407266471</v>
      </c>
      <c r="S95" s="89">
        <f t="shared" si="9"/>
        <v>0.40240958261757742</v>
      </c>
      <c r="T95" s="89">
        <f t="shared" si="9"/>
        <v>0.40502279678030656</v>
      </c>
      <c r="U95" s="89">
        <f t="shared" si="9"/>
        <v>0.4141195451660547</v>
      </c>
      <c r="V95" s="89">
        <f t="shared" si="9"/>
        <v>0.4134284084426697</v>
      </c>
      <c r="W95" s="89">
        <f t="shared" si="9"/>
        <v>0.40444737257021873</v>
      </c>
      <c r="X95" s="89">
        <f t="shared" si="9"/>
        <v>0.38402003827535741</v>
      </c>
      <c r="Y95" s="89">
        <f t="shared" si="9"/>
        <v>0.38769693285801121</v>
      </c>
      <c r="Z95" s="89">
        <f t="shared" si="9"/>
        <v>0.38701849358360735</v>
      </c>
      <c r="AA95" s="89">
        <f t="shared" si="9"/>
        <v>0.38570384645436795</v>
      </c>
      <c r="AB95" s="89"/>
    </row>
    <row r="96" spans="1:28">
      <c r="A96" s="209" t="s">
        <v>230</v>
      </c>
      <c r="B96" s="53">
        <f t="shared" si="10"/>
        <v>64677.000000000015</v>
      </c>
      <c r="C96" s="53">
        <f t="shared" si="10"/>
        <v>68254</v>
      </c>
      <c r="D96" s="53">
        <f t="shared" si="10"/>
        <v>69953.430799999973</v>
      </c>
      <c r="E96" s="53">
        <f t="shared" si="10"/>
        <v>71867.880199999985</v>
      </c>
      <c r="F96" s="53">
        <f t="shared" si="10"/>
        <v>72494.394109999994</v>
      </c>
      <c r="G96" s="53">
        <f t="shared" si="10"/>
        <v>73893.974649999989</v>
      </c>
      <c r="H96" s="53">
        <f t="shared" si="10"/>
        <v>73856.935820000013</v>
      </c>
      <c r="I96" s="53">
        <f t="shared" si="10"/>
        <v>77915.71703</v>
      </c>
      <c r="J96" s="53">
        <f t="shared" si="10"/>
        <v>80593.285950000136</v>
      </c>
      <c r="K96" s="47">
        <f>-HLOOKUP($A96,'[4]Provider Arm'!$C$919:$AF$949,ROW('[4]Provider Arm'!$A$939)-ROW('[4]Provider Arm'!$A$918),FALSE)</f>
        <v>79566.019070000009</v>
      </c>
      <c r="L96" s="47">
        <f>-HLOOKUP($A96,'[4]Provider Arm'!$C$1000:$AF$1030,ROW('[4]Provider Arm'!$A$1020)-ROW('[4]Provider Arm'!$A$999),FALSE)</f>
        <v>87322.412200000021</v>
      </c>
      <c r="M96" s="47">
        <f>-HLOOKUP($A96,'[4]Provider Arm'!$C$1081:$AF$1111,ROW('[4]Provider Arm'!$A$1101)-ROW('[4]Provider Arm'!$A$1080),FALSE)</f>
        <v>67703.107169999988</v>
      </c>
      <c r="O96" s="209" t="s">
        <v>230</v>
      </c>
      <c r="P96" s="89">
        <f t="shared" si="11"/>
        <v>0.32467393930534533</v>
      </c>
      <c r="Q96" s="89">
        <f t="shared" si="9"/>
        <v>0.30880110754697349</v>
      </c>
      <c r="R96" s="89">
        <f t="shared" si="9"/>
        <v>0.316187425852826</v>
      </c>
      <c r="S96" s="89">
        <f t="shared" si="9"/>
        <v>0.3178496963217684</v>
      </c>
      <c r="T96" s="89">
        <f t="shared" si="9"/>
        <v>0.30786580721389845</v>
      </c>
      <c r="U96" s="89">
        <f t="shared" si="9"/>
        <v>0.31097062799462072</v>
      </c>
      <c r="V96" s="89">
        <f t="shared" si="9"/>
        <v>0.30420797642022646</v>
      </c>
      <c r="W96" s="89">
        <f t="shared" si="9"/>
        <v>0.31089032602935129</v>
      </c>
      <c r="X96" s="89">
        <f t="shared" si="9"/>
        <v>0.30880488859974253</v>
      </c>
      <c r="Y96" s="89">
        <f t="shared" si="9"/>
        <v>0.30161482919925048</v>
      </c>
      <c r="Z96" s="89">
        <f t="shared" si="9"/>
        <v>0.30017798162978981</v>
      </c>
      <c r="AA96" s="89">
        <f t="shared" si="9"/>
        <v>0.29414697257754446</v>
      </c>
      <c r="AB96" s="89"/>
    </row>
    <row r="97" spans="1:28">
      <c r="A97" s="209" t="s">
        <v>231</v>
      </c>
      <c r="B97" s="53">
        <f t="shared" si="10"/>
        <v>61941.327300000004</v>
      </c>
      <c r="C97" s="53">
        <f t="shared" si="10"/>
        <v>71250.166400000016</v>
      </c>
      <c r="D97" s="53">
        <f t="shared" si="10"/>
        <v>76180.285999999993</v>
      </c>
      <c r="E97" s="53">
        <f t="shared" si="10"/>
        <v>82526.25410000002</v>
      </c>
      <c r="F97" s="53">
        <f t="shared" si="10"/>
        <v>83167.227879999991</v>
      </c>
      <c r="G97" s="53">
        <f t="shared" si="10"/>
        <v>81890.801479999966</v>
      </c>
      <c r="H97" s="53">
        <f t="shared" si="10"/>
        <v>84502.127279999986</v>
      </c>
      <c r="I97" s="53">
        <f t="shared" si="10"/>
        <v>86330.613189999858</v>
      </c>
      <c r="J97" s="53">
        <f t="shared" si="10"/>
        <v>92039.093510000152</v>
      </c>
      <c r="K97" s="47">
        <f>-HLOOKUP($A97,'[4]Provider Arm'!$C$919:$AF$949,ROW('[4]Provider Arm'!$A$939)-ROW('[4]Provider Arm'!$A$918),FALSE)</f>
        <v>94309.431883700003</v>
      </c>
      <c r="L97" s="47">
        <f>-HLOOKUP($A97,'[4]Provider Arm'!$C$1000:$AF$1030,ROW('[4]Provider Arm'!$A$1020)-ROW('[4]Provider Arm'!$A$999),FALSE)</f>
        <v>100099.92755999998</v>
      </c>
      <c r="M97" s="47">
        <f>-HLOOKUP($A97,'[4]Provider Arm'!$C$1081:$AF$1111,ROW('[4]Provider Arm'!$A$1101)-ROW('[4]Provider Arm'!$A$1080),FALSE)</f>
        <v>77617.995850000007</v>
      </c>
      <c r="O97" s="209" t="s">
        <v>231</v>
      </c>
      <c r="P97" s="89">
        <f t="shared" si="11"/>
        <v>0.30154056401777646</v>
      </c>
      <c r="Q97" s="89">
        <f t="shared" si="9"/>
        <v>0.31235798332217612</v>
      </c>
      <c r="R97" s="89">
        <f t="shared" si="9"/>
        <v>0.30480987610571753</v>
      </c>
      <c r="S97" s="89">
        <f t="shared" si="9"/>
        <v>0.31624393226594383</v>
      </c>
      <c r="T97" s="89">
        <f t="shared" si="9"/>
        <v>0.3062268778086048</v>
      </c>
      <c r="U97" s="89">
        <f t="shared" si="9"/>
        <v>0.28940566672121948</v>
      </c>
      <c r="V97" s="89">
        <f t="shared" si="9"/>
        <v>0.28703768227373411</v>
      </c>
      <c r="W97" s="89">
        <f t="shared" si="9"/>
        <v>0.28186394723731784</v>
      </c>
      <c r="X97" s="89">
        <f t="shared" si="9"/>
        <v>0.28481043721577443</v>
      </c>
      <c r="Y97" s="89">
        <f t="shared" si="9"/>
        <v>0.27999773201677425</v>
      </c>
      <c r="Z97" s="89">
        <f t="shared" si="9"/>
        <v>0.27056042235833105</v>
      </c>
      <c r="AA97" s="89">
        <f t="shared" si="9"/>
        <v>0.26007212321056011</v>
      </c>
      <c r="AB97" s="89"/>
    </row>
    <row r="98" spans="1:28">
      <c r="A98" s="209" t="s">
        <v>232</v>
      </c>
      <c r="B98" s="53">
        <f>B123-B73-B48</f>
        <v>91743.13</v>
      </c>
      <c r="C98" s="53">
        <f>C123-C73-C48</f>
        <v>96682.25999999998</v>
      </c>
      <c r="D98" s="53"/>
      <c r="E98" s="53"/>
      <c r="F98" s="53"/>
      <c r="G98" s="53"/>
      <c r="H98" s="53"/>
      <c r="I98" s="53"/>
      <c r="J98" s="53"/>
      <c r="K98" s="47"/>
      <c r="L98" s="47"/>
      <c r="M98" s="47"/>
      <c r="O98" s="209" t="s">
        <v>232</v>
      </c>
      <c r="P98" s="89">
        <f t="shared" si="11"/>
        <v>0.33129374713955628</v>
      </c>
      <c r="Q98" s="89">
        <f t="shared" si="9"/>
        <v>0.33470477845332613</v>
      </c>
      <c r="R98" s="89"/>
      <c r="S98" s="89"/>
      <c r="T98" s="89"/>
      <c r="U98" s="89"/>
      <c r="V98" s="89"/>
      <c r="W98" s="89"/>
      <c r="X98" s="89"/>
      <c r="Y98" s="89"/>
      <c r="Z98" s="89"/>
      <c r="AA98" s="89"/>
      <c r="AB98" s="89"/>
    </row>
    <row r="99" spans="1:28">
      <c r="A99" s="209" t="s">
        <v>233</v>
      </c>
      <c r="B99" s="53">
        <f t="shared" ref="B99:J100" si="12">B124-B74-B49</f>
        <v>20187</v>
      </c>
      <c r="C99" s="53">
        <f t="shared" si="12"/>
        <v>21457</v>
      </c>
      <c r="D99" s="53">
        <f t="shared" si="12"/>
        <v>20848</v>
      </c>
      <c r="E99" s="53">
        <f t="shared" si="12"/>
        <v>22054</v>
      </c>
      <c r="F99" s="53">
        <f t="shared" si="12"/>
        <v>22194</v>
      </c>
      <c r="G99" s="53">
        <f t="shared" si="12"/>
        <v>23105</v>
      </c>
      <c r="H99" s="53">
        <f t="shared" si="12"/>
        <v>23853</v>
      </c>
      <c r="I99" s="53">
        <f t="shared" si="12"/>
        <v>24680</v>
      </c>
      <c r="J99" s="53">
        <f t="shared" si="12"/>
        <v>24968</v>
      </c>
      <c r="K99" s="47">
        <f>-HLOOKUP($A99,'[4]Provider Arm'!$C$919:$AF$949,ROW('[4]Provider Arm'!$A$939)-ROW('[4]Provider Arm'!$A$918),FALSE)</f>
        <v>24170</v>
      </c>
      <c r="L99" s="47">
        <f>-HLOOKUP($A99,'[4]Provider Arm'!$C$1000:$AF$1030,ROW('[4]Provider Arm'!$A$1020)-ROW('[4]Provider Arm'!$A$999),FALSE)</f>
        <v>25210</v>
      </c>
      <c r="M99" s="47">
        <f>-HLOOKUP($A99,'[4]Provider Arm'!$C$1081:$AF$1111,ROW('[4]Provider Arm'!$A$1101)-ROW('[4]Provider Arm'!$A$1080),FALSE)</f>
        <v>18778</v>
      </c>
      <c r="O99" s="209" t="s">
        <v>233</v>
      </c>
      <c r="P99" s="89">
        <f t="shared" si="11"/>
        <v>0.27849515768562205</v>
      </c>
      <c r="Q99" s="89">
        <f t="shared" si="9"/>
        <v>0.27377003164233948</v>
      </c>
      <c r="R99" s="89">
        <f t="shared" si="9"/>
        <v>0.26004091203911589</v>
      </c>
      <c r="S99" s="89">
        <f t="shared" si="9"/>
        <v>0.26073180824023173</v>
      </c>
      <c r="T99" s="89">
        <f t="shared" si="9"/>
        <v>0.25443664878250105</v>
      </c>
      <c r="U99" s="89">
        <f t="shared" si="9"/>
        <v>0.26116492782782669</v>
      </c>
      <c r="V99" s="89">
        <f t="shared" si="9"/>
        <v>0.25450258204942172</v>
      </c>
      <c r="W99" s="89">
        <f t="shared" si="9"/>
        <v>0.25406891155972372</v>
      </c>
      <c r="X99" s="89">
        <f t="shared" si="9"/>
        <v>0.25970189617332878</v>
      </c>
      <c r="Y99" s="89">
        <f t="shared" si="9"/>
        <v>0.25403064763626426</v>
      </c>
      <c r="Z99" s="89">
        <f t="shared" si="9"/>
        <v>0.25572619748027026</v>
      </c>
      <c r="AA99" s="89">
        <f t="shared" si="9"/>
        <v>0.24569850968898427</v>
      </c>
      <c r="AB99" s="89"/>
    </row>
    <row r="100" spans="1:28">
      <c r="A100" s="209" t="s">
        <v>234</v>
      </c>
      <c r="B100" s="215">
        <f>B98+B101</f>
        <v>131761.34</v>
      </c>
      <c r="C100" s="215">
        <f>C98+C101</f>
        <v>140809.64899999998</v>
      </c>
      <c r="D100" s="53">
        <f t="shared" si="12"/>
        <v>140618.37590000004</v>
      </c>
      <c r="E100" s="53">
        <f t="shared" si="12"/>
        <v>144558.10810000001</v>
      </c>
      <c r="F100" s="53">
        <f t="shared" si="12"/>
        <v>148315.81610000005</v>
      </c>
      <c r="G100" s="53">
        <f t="shared" si="12"/>
        <v>145094.25466000004</v>
      </c>
      <c r="H100" s="53">
        <f t="shared" si="12"/>
        <v>150861.05285000004</v>
      </c>
      <c r="I100" s="53">
        <f t="shared" si="12"/>
        <v>154745.2223599999</v>
      </c>
      <c r="J100" s="53">
        <f t="shared" si="12"/>
        <v>162220.21036000026</v>
      </c>
      <c r="K100" s="47">
        <f>-HLOOKUP($A100,'[4]Provider Arm'!$C$919:$AF$949,ROW('[4]Provider Arm'!$A$939)-ROW('[4]Provider Arm'!$A$918),FALSE)</f>
        <v>156517.96136999998</v>
      </c>
      <c r="L100" s="47">
        <f>-HLOOKUP($A100,'[4]Provider Arm'!$C$1000:$AF$1030,ROW('[4]Provider Arm'!$A$1020)-ROW('[4]Provider Arm'!$A$999),FALSE)</f>
        <v>164817.42642999999</v>
      </c>
      <c r="M100" s="47">
        <f>-HLOOKUP($A100,'[4]Provider Arm'!$C$1081:$AF$1111,ROW('[4]Provider Arm'!$A$1101)-ROW('[4]Provider Arm'!$A$1080),FALSE)</f>
        <v>134773.87048000001</v>
      </c>
      <c r="O100" s="209" t="s">
        <v>234</v>
      </c>
      <c r="P100" s="216">
        <f t="shared" si="11"/>
        <v>0.32959151461967517</v>
      </c>
      <c r="Q100" s="216">
        <f t="shared" si="9"/>
        <v>0.32994972449013332</v>
      </c>
      <c r="R100" s="89">
        <f t="shared" si="9"/>
        <v>0.3125770758157872</v>
      </c>
      <c r="S100" s="89">
        <f t="shared" si="9"/>
        <v>0.31636026945735468</v>
      </c>
      <c r="T100" s="89">
        <f t="shared" si="9"/>
        <v>0.30718018256550705</v>
      </c>
      <c r="U100" s="89">
        <f t="shared" si="9"/>
        <v>0.30079276411115219</v>
      </c>
      <c r="V100" s="89">
        <f t="shared" si="9"/>
        <v>0.30199152018693831</v>
      </c>
      <c r="W100" s="89">
        <f t="shared" si="9"/>
        <v>0.29488259003499417</v>
      </c>
      <c r="X100" s="89">
        <f t="shared" si="9"/>
        <v>0.2980349026638956</v>
      </c>
      <c r="Y100" s="89">
        <f t="shared" si="9"/>
        <v>0.28309150629882945</v>
      </c>
      <c r="Z100" s="89">
        <f t="shared" si="9"/>
        <v>0.28821040057572311</v>
      </c>
      <c r="AA100" s="89">
        <f t="shared" si="9"/>
        <v>0.29276078051552323</v>
      </c>
      <c r="AB100" s="89"/>
    </row>
    <row r="101" spans="1:28">
      <c r="A101" s="209" t="s">
        <v>235</v>
      </c>
      <c r="B101" s="53">
        <f>B126-B76-B51</f>
        <v>40018.209999999992</v>
      </c>
      <c r="C101" s="53">
        <f>C126-C76-C51</f>
        <v>44127.38900000001</v>
      </c>
      <c r="D101" s="53"/>
      <c r="E101" s="53"/>
      <c r="F101" s="53"/>
      <c r="G101" s="53"/>
      <c r="H101" s="53"/>
      <c r="I101" s="53"/>
      <c r="J101" s="53"/>
      <c r="K101" s="47"/>
      <c r="L101" s="47"/>
      <c r="M101" s="47"/>
      <c r="O101" s="209" t="s">
        <v>235</v>
      </c>
      <c r="P101" s="89">
        <f t="shared" si="11"/>
        <v>0.32575433838186413</v>
      </c>
      <c r="Q101" s="89">
        <f t="shared" si="9"/>
        <v>0.31998952889961807</v>
      </c>
      <c r="R101" s="89"/>
      <c r="S101" s="89"/>
      <c r="T101" s="89"/>
      <c r="U101" s="89"/>
      <c r="V101" s="89"/>
      <c r="W101" s="89"/>
      <c r="X101" s="89"/>
      <c r="Y101" s="89"/>
      <c r="Z101" s="89"/>
      <c r="AA101" s="89"/>
      <c r="AB101" s="89"/>
    </row>
    <row r="102" spans="1:28">
      <c r="A102" s="209" t="s">
        <v>236</v>
      </c>
      <c r="B102" s="53">
        <f t="shared" ref="B102:J109" si="13">B127-B77-B52</f>
        <v>22339.602999999996</v>
      </c>
      <c r="C102" s="53">
        <f t="shared" si="13"/>
        <v>24691.082999999991</v>
      </c>
      <c r="D102" s="53">
        <f t="shared" si="13"/>
        <v>24512.342000000004</v>
      </c>
      <c r="E102" s="53">
        <f t="shared" si="13"/>
        <v>26296.392999999996</v>
      </c>
      <c r="F102" s="53">
        <f t="shared" si="13"/>
        <v>25344</v>
      </c>
      <c r="G102" s="53">
        <f t="shared" si="13"/>
        <v>28076</v>
      </c>
      <c r="H102" s="53">
        <f t="shared" si="13"/>
        <v>27427</v>
      </c>
      <c r="I102" s="53">
        <f t="shared" si="13"/>
        <v>29141</v>
      </c>
      <c r="J102" s="53">
        <f t="shared" si="13"/>
        <v>28448.698000000011</v>
      </c>
      <c r="K102" s="47">
        <f>-HLOOKUP($A102,'[4]Provider Arm'!$C$919:$AF$949,ROW('[4]Provider Arm'!$A$939)-ROW('[4]Provider Arm'!$A$918),FALSE)</f>
        <v>28567</v>
      </c>
      <c r="L102" s="47">
        <f>-HLOOKUP($A102,'[4]Provider Arm'!$C$1000:$AF$1030,ROW('[4]Provider Arm'!$A$1020)-ROW('[4]Provider Arm'!$A$999),FALSE)</f>
        <v>29212</v>
      </c>
      <c r="M102" s="47">
        <f>-HLOOKUP($A102,'[4]Provider Arm'!$C$1081:$AF$1111,ROW('[4]Provider Arm'!$A$1101)-ROW('[4]Provider Arm'!$A$1080),FALSE)</f>
        <v>23833</v>
      </c>
      <c r="O102" s="209" t="s">
        <v>236</v>
      </c>
      <c r="P102" s="89">
        <f t="shared" si="11"/>
        <v>0.33668197946328515</v>
      </c>
      <c r="Q102" s="89">
        <f t="shared" si="9"/>
        <v>0.31711390202201001</v>
      </c>
      <c r="R102" s="89">
        <f t="shared" si="9"/>
        <v>0.29801097108095059</v>
      </c>
      <c r="S102" s="89">
        <f t="shared" si="9"/>
        <v>0.30949207761082836</v>
      </c>
      <c r="T102" s="89">
        <f t="shared" si="9"/>
        <v>0.29281819022090766</v>
      </c>
      <c r="U102" s="89">
        <f t="shared" si="9"/>
        <v>0.30799609464988975</v>
      </c>
      <c r="V102" s="89">
        <f t="shared" si="9"/>
        <v>0.29922866276088544</v>
      </c>
      <c r="W102" s="89">
        <f t="shared" si="9"/>
        <v>0.30305961146470317</v>
      </c>
      <c r="X102" s="89">
        <f t="shared" si="9"/>
        <v>0.29063826624551997</v>
      </c>
      <c r="Y102" s="89">
        <f t="shared" si="9"/>
        <v>0.2852763186802213</v>
      </c>
      <c r="Z102" s="89">
        <f t="shared" si="9"/>
        <v>0.27382570467093487</v>
      </c>
      <c r="AA102" s="89">
        <f t="shared" si="9"/>
        <v>0.27771886689117542</v>
      </c>
      <c r="AB102" s="89"/>
    </row>
    <row r="103" spans="1:28">
      <c r="A103" s="209" t="s">
        <v>237</v>
      </c>
      <c r="B103" s="53">
        <f t="shared" si="13"/>
        <v>49059</v>
      </c>
      <c r="C103" s="53">
        <f t="shared" si="13"/>
        <v>52329</v>
      </c>
      <c r="D103" s="53">
        <f t="shared" si="13"/>
        <v>49832</v>
      </c>
      <c r="E103" s="53">
        <f t="shared" si="13"/>
        <v>48566</v>
      </c>
      <c r="F103" s="53">
        <f t="shared" si="13"/>
        <v>49661</v>
      </c>
      <c r="G103" s="53">
        <f t="shared" si="13"/>
        <v>50791</v>
      </c>
      <c r="H103" s="53">
        <f t="shared" si="13"/>
        <v>57771</v>
      </c>
      <c r="I103" s="53">
        <f t="shared" si="13"/>
        <v>60720</v>
      </c>
      <c r="J103" s="53">
        <f t="shared" si="13"/>
        <v>63973</v>
      </c>
      <c r="K103" s="47">
        <f>-HLOOKUP($A103,'[4]Provider Arm'!$C$919:$AF$949,ROW('[4]Provider Arm'!$A$939)-ROW('[4]Provider Arm'!$A$918),FALSE)</f>
        <v>64725</v>
      </c>
      <c r="L103" s="47">
        <f>-HLOOKUP($A103,'[4]Provider Arm'!$C$1000:$AF$1030,ROW('[4]Provider Arm'!$A$1020)-ROW('[4]Provider Arm'!$A$999),FALSE)</f>
        <v>67812</v>
      </c>
      <c r="M103" s="47">
        <f>-HLOOKUP($A103,'[4]Provider Arm'!$C$1081:$AF$1111,ROW('[4]Provider Arm'!$A$1101)-ROW('[4]Provider Arm'!$A$1080),FALSE)</f>
        <v>57125</v>
      </c>
      <c r="O103" s="209" t="s">
        <v>237</v>
      </c>
      <c r="P103" s="89">
        <f t="shared" si="11"/>
        <v>0.31178066869609983</v>
      </c>
      <c r="Q103" s="89">
        <f t="shared" si="11"/>
        <v>0.31404497416416111</v>
      </c>
      <c r="R103" s="89">
        <f t="shared" si="11"/>
        <v>0.28800295909285312</v>
      </c>
      <c r="S103" s="89">
        <f t="shared" si="11"/>
        <v>0.28015505843534039</v>
      </c>
      <c r="T103" s="89">
        <f t="shared" si="11"/>
        <v>0.28038686510535471</v>
      </c>
      <c r="U103" s="89">
        <f t="shared" si="11"/>
        <v>0.27867791086213423</v>
      </c>
      <c r="V103" s="89">
        <f t="shared" si="11"/>
        <v>0.3076148943307615</v>
      </c>
      <c r="W103" s="89">
        <f t="shared" si="11"/>
        <v>0.31023119172308083</v>
      </c>
      <c r="X103" s="89">
        <f t="shared" si="11"/>
        <v>0.31349939478881317</v>
      </c>
      <c r="Y103" s="89">
        <f t="shared" si="11"/>
        <v>0.30658064882838587</v>
      </c>
      <c r="Z103" s="89">
        <f t="shared" si="11"/>
        <v>0.30182934971291225</v>
      </c>
      <c r="AA103" s="89">
        <f t="shared" si="11"/>
        <v>0.31335882259365111</v>
      </c>
      <c r="AB103" s="89"/>
    </row>
    <row r="104" spans="1:28">
      <c r="A104" s="209" t="s">
        <v>238</v>
      </c>
      <c r="B104" s="53">
        <f t="shared" si="13"/>
        <v>181815.8</v>
      </c>
      <c r="C104" s="53">
        <f t="shared" si="13"/>
        <v>212074</v>
      </c>
      <c r="D104" s="53">
        <f t="shared" si="13"/>
        <v>216880</v>
      </c>
      <c r="E104" s="53">
        <f t="shared" si="13"/>
        <v>309004</v>
      </c>
      <c r="F104" s="53">
        <f t="shared" si="13"/>
        <v>240221</v>
      </c>
      <c r="G104" s="53">
        <f t="shared" si="13"/>
        <v>245763</v>
      </c>
      <c r="H104" s="53">
        <f t="shared" si="13"/>
        <v>258261.3</v>
      </c>
      <c r="I104" s="53">
        <f t="shared" si="13"/>
        <v>274469.16079999995</v>
      </c>
      <c r="J104" s="53">
        <f t="shared" si="13"/>
        <v>262159.53088999976</v>
      </c>
      <c r="K104" s="47">
        <f>-HLOOKUP($A104,'[4]Provider Arm'!$C$919:$AF$949,ROW('[4]Provider Arm'!$A$939)-ROW('[4]Provider Arm'!$A$918),FALSE)</f>
        <v>275049.14163000003</v>
      </c>
      <c r="L104" s="47">
        <f>-HLOOKUP($A104,'[4]Provider Arm'!$C$1000:$AF$1030,ROW('[4]Provider Arm'!$A$1020)-ROW('[4]Provider Arm'!$A$999),FALSE)</f>
        <v>315791.26558000001</v>
      </c>
      <c r="M104" s="47">
        <f>-HLOOKUP($A104,'[4]Provider Arm'!$C$1081:$AF$1111,ROW('[4]Provider Arm'!$A$1101)-ROW('[4]Provider Arm'!$A$1080),FALSE)</f>
        <v>246348.25044999999</v>
      </c>
      <c r="O104" s="209" t="s">
        <v>238</v>
      </c>
      <c r="P104" s="89">
        <f t="shared" si="11"/>
        <v>0.33040424770476728</v>
      </c>
      <c r="Q104" s="89">
        <f t="shared" si="11"/>
        <v>0.33303862371129972</v>
      </c>
      <c r="R104" s="89">
        <f t="shared" si="11"/>
        <v>0.32266895189126138</v>
      </c>
      <c r="S104" s="89">
        <f t="shared" si="11"/>
        <v>0.39649599595553658</v>
      </c>
      <c r="T104" s="89">
        <f t="shared" si="11"/>
        <v>0.32775435580478351</v>
      </c>
      <c r="U104" s="89">
        <f t="shared" si="11"/>
        <v>0.32194985838885554</v>
      </c>
      <c r="V104" s="89">
        <f t="shared" si="11"/>
        <v>0.32617962927155053</v>
      </c>
      <c r="W104" s="89">
        <f t="shared" si="11"/>
        <v>0.33381046118297175</v>
      </c>
      <c r="X104" s="89">
        <f t="shared" si="11"/>
        <v>0.31292607133287881</v>
      </c>
      <c r="Y104" s="89">
        <f t="shared" si="11"/>
        <v>0.30966836389391433</v>
      </c>
      <c r="Z104" s="89">
        <f t="shared" si="11"/>
        <v>0.32232165024008202</v>
      </c>
      <c r="AA104" s="89">
        <f t="shared" si="11"/>
        <v>0.30969888284432234</v>
      </c>
      <c r="AB104" s="89"/>
    </row>
    <row r="105" spans="1:28">
      <c r="A105" s="209" t="s">
        <v>239</v>
      </c>
      <c r="B105" s="53">
        <f t="shared" si="13"/>
        <v>17982</v>
      </c>
      <c r="C105" s="53">
        <f t="shared" si="13"/>
        <v>21235</v>
      </c>
      <c r="D105" s="53">
        <f t="shared" si="13"/>
        <v>20055</v>
      </c>
      <c r="E105" s="53">
        <f t="shared" si="13"/>
        <v>20381</v>
      </c>
      <c r="F105" s="53">
        <f t="shared" si="13"/>
        <v>21795</v>
      </c>
      <c r="G105" s="53">
        <f t="shared" si="13"/>
        <v>19457</v>
      </c>
      <c r="H105" s="53">
        <f t="shared" si="13"/>
        <v>19387</v>
      </c>
      <c r="I105" s="53">
        <f t="shared" si="13"/>
        <v>20412.900000000009</v>
      </c>
      <c r="J105" s="53">
        <f t="shared" si="13"/>
        <v>21800.35005999999</v>
      </c>
      <c r="K105" s="47">
        <f>-HLOOKUP($A105,'[4]Provider Arm'!$C$919:$AF$949,ROW('[4]Provider Arm'!$A$939)-ROW('[4]Provider Arm'!$A$918),FALSE)</f>
        <v>21327.944620000002</v>
      </c>
      <c r="L105" s="47">
        <f>-HLOOKUP($A105,'[4]Provider Arm'!$C$1000:$AF$1030,ROW('[4]Provider Arm'!$A$1020)-ROW('[4]Provider Arm'!$A$999),FALSE)</f>
        <v>24988.576289999997</v>
      </c>
      <c r="M105" s="47">
        <f>-HLOOKUP($A105,'[4]Provider Arm'!$C$1081:$AF$1111,ROW('[4]Provider Arm'!$A$1101)-ROW('[4]Provider Arm'!$A$1080),FALSE)</f>
        <v>17415.996600000002</v>
      </c>
      <c r="O105" s="209" t="s">
        <v>239</v>
      </c>
      <c r="P105" s="89">
        <f t="shared" si="11"/>
        <v>0.33844966638747986</v>
      </c>
      <c r="Q105" s="89">
        <f t="shared" si="11"/>
        <v>0.3573892993587694</v>
      </c>
      <c r="R105" s="89">
        <f t="shared" si="11"/>
        <v>0.3456090163369408</v>
      </c>
      <c r="S105" s="89">
        <f t="shared" si="11"/>
        <v>0.34191145632370951</v>
      </c>
      <c r="T105" s="89">
        <f t="shared" si="11"/>
        <v>0.35394709063449015</v>
      </c>
      <c r="U105" s="89">
        <f t="shared" si="11"/>
        <v>0.31873730423956492</v>
      </c>
      <c r="V105" s="89">
        <f t="shared" si="11"/>
        <v>0.30728630074020064</v>
      </c>
      <c r="W105" s="89">
        <f t="shared" si="11"/>
        <v>0.31521332942139324</v>
      </c>
      <c r="X105" s="89">
        <f t="shared" si="11"/>
        <v>0.31628575621628308</v>
      </c>
      <c r="Y105" s="89">
        <f t="shared" si="11"/>
        <v>0.30640858211831612</v>
      </c>
      <c r="Z105" s="89">
        <f t="shared" si="11"/>
        <v>0.33094478713416364</v>
      </c>
      <c r="AA105" s="89">
        <f t="shared" si="11"/>
        <v>0.2964256771101107</v>
      </c>
      <c r="AB105" s="89"/>
    </row>
    <row r="106" spans="1:28">
      <c r="A106" s="209" t="s">
        <v>240</v>
      </c>
      <c r="B106" s="53">
        <f t="shared" si="13"/>
        <v>154013</v>
      </c>
      <c r="C106" s="53">
        <f t="shared" si="13"/>
        <v>168078</v>
      </c>
      <c r="D106" s="53">
        <f t="shared" si="13"/>
        <v>171718</v>
      </c>
      <c r="E106" s="53">
        <f t="shared" si="13"/>
        <v>176214</v>
      </c>
      <c r="F106" s="53">
        <f t="shared" si="13"/>
        <v>183471</v>
      </c>
      <c r="G106" s="53">
        <f t="shared" si="13"/>
        <v>189640</v>
      </c>
      <c r="H106" s="53">
        <f t="shared" si="13"/>
        <v>201654</v>
      </c>
      <c r="I106" s="53">
        <f t="shared" si="13"/>
        <v>219819</v>
      </c>
      <c r="J106" s="53">
        <f t="shared" si="13"/>
        <v>220430</v>
      </c>
      <c r="K106" s="47">
        <f>-HLOOKUP($A106,'[4]Provider Arm'!$C$919:$AF$949,ROW('[4]Provider Arm'!$A$939)-ROW('[4]Provider Arm'!$A$918),FALSE)</f>
        <v>221906</v>
      </c>
      <c r="L106" s="47">
        <f>-HLOOKUP($A106,'[4]Provider Arm'!$C$1000:$AF$1030,ROW('[4]Provider Arm'!$A$1020)-ROW('[4]Provider Arm'!$A$999),FALSE)</f>
        <v>250120</v>
      </c>
      <c r="M106" s="47">
        <f>-HLOOKUP($A106,'[4]Provider Arm'!$C$1081:$AF$1111,ROW('[4]Provider Arm'!$A$1101)-ROW('[4]Provider Arm'!$A$1080),FALSE)</f>
        <v>185138</v>
      </c>
      <c r="O106" s="209" t="s">
        <v>240</v>
      </c>
      <c r="P106" s="89">
        <f t="shared" si="11"/>
        <v>0.27266997501916496</v>
      </c>
      <c r="Q106" s="89">
        <f t="shared" si="11"/>
        <v>0.26774330235536625</v>
      </c>
      <c r="R106" s="89">
        <f t="shared" si="11"/>
        <v>0.26520441147626306</v>
      </c>
      <c r="S106" s="89">
        <f t="shared" si="11"/>
        <v>0.26775319432140898</v>
      </c>
      <c r="T106" s="89">
        <f t="shared" si="11"/>
        <v>0.26012780177822264</v>
      </c>
      <c r="U106" s="89">
        <f t="shared" si="11"/>
        <v>0.25807645671530888</v>
      </c>
      <c r="V106" s="89">
        <f t="shared" si="11"/>
        <v>0.25946083653712537</v>
      </c>
      <c r="W106" s="89">
        <f t="shared" si="11"/>
        <v>0.26008850290474106</v>
      </c>
      <c r="X106" s="89">
        <f t="shared" si="11"/>
        <v>0.25719889713560962</v>
      </c>
      <c r="Y106" s="89">
        <f t="shared" si="11"/>
        <v>0.25084271377574208</v>
      </c>
      <c r="Z106" s="89">
        <f t="shared" si="11"/>
        <v>0.26363915207948385</v>
      </c>
      <c r="AA106" s="89">
        <f t="shared" si="11"/>
        <v>0.25232683178801807</v>
      </c>
      <c r="AB106" s="89"/>
    </row>
    <row r="107" spans="1:28">
      <c r="A107" s="209" t="s">
        <v>241</v>
      </c>
      <c r="B107" s="53">
        <f t="shared" si="13"/>
        <v>22879</v>
      </c>
      <c r="C107" s="53">
        <f t="shared" si="13"/>
        <v>23909</v>
      </c>
      <c r="D107" s="53">
        <f t="shared" si="13"/>
        <v>25424</v>
      </c>
      <c r="E107" s="53">
        <f t="shared" si="13"/>
        <v>24560</v>
      </c>
      <c r="F107" s="53">
        <f t="shared" si="13"/>
        <v>25512</v>
      </c>
      <c r="G107" s="53">
        <f t="shared" si="13"/>
        <v>26353.428000000022</v>
      </c>
      <c r="H107" s="53">
        <f t="shared" si="13"/>
        <v>26278</v>
      </c>
      <c r="I107" s="53">
        <f t="shared" si="13"/>
        <v>26745</v>
      </c>
      <c r="J107" s="53">
        <f t="shared" si="13"/>
        <v>26012</v>
      </c>
      <c r="K107" s="47">
        <f>-HLOOKUP($A107,'[4]Provider Arm'!$C$919:$AF$949,ROW('[4]Provider Arm'!$A$939)-ROW('[4]Provider Arm'!$A$918),FALSE)</f>
        <v>25166.021529999995</v>
      </c>
      <c r="L107" s="47">
        <f>-HLOOKUP($A107,'[4]Provider Arm'!$C$1000:$AF$1030,ROW('[4]Provider Arm'!$A$1020)-ROW('[4]Provider Arm'!$A$999),FALSE)</f>
        <v>25920.447</v>
      </c>
      <c r="M107" s="47">
        <f>-HLOOKUP($A107,'[4]Provider Arm'!$C$1081:$AF$1111,ROW('[4]Provider Arm'!$A$1101)-ROW('[4]Provider Arm'!$A$1080),FALSE)</f>
        <v>18277</v>
      </c>
      <c r="O107" s="209" t="s">
        <v>241</v>
      </c>
      <c r="P107" s="89">
        <f t="shared" si="11"/>
        <v>0.29282121510757297</v>
      </c>
      <c r="Q107" s="89">
        <f t="shared" si="11"/>
        <v>0.28423843264063914</v>
      </c>
      <c r="R107" s="89">
        <f t="shared" si="11"/>
        <v>0.28777379711820528</v>
      </c>
      <c r="S107" s="89">
        <f t="shared" si="11"/>
        <v>0.27219630052422172</v>
      </c>
      <c r="T107" s="89">
        <f t="shared" si="11"/>
        <v>0.27970617256879726</v>
      </c>
      <c r="U107" s="89">
        <f t="shared" si="11"/>
        <v>0.28737131065687432</v>
      </c>
      <c r="V107" s="89">
        <f t="shared" si="11"/>
        <v>0.29677900252981571</v>
      </c>
      <c r="W107" s="89">
        <f t="shared" si="11"/>
        <v>0.29704454835234406</v>
      </c>
      <c r="X107" s="89">
        <f t="shared" si="11"/>
        <v>0.29346661100894661</v>
      </c>
      <c r="Y107" s="89">
        <f t="shared" si="11"/>
        <v>0.2807411617266849</v>
      </c>
      <c r="Z107" s="89">
        <f t="shared" si="11"/>
        <v>0.27990073025294715</v>
      </c>
      <c r="AA107" s="89">
        <f t="shared" si="11"/>
        <v>0.26120821483185891</v>
      </c>
      <c r="AB107" s="89"/>
    </row>
    <row r="108" spans="1:28">
      <c r="A108" s="210" t="s">
        <v>242</v>
      </c>
      <c r="B108" s="219">
        <f t="shared" si="13"/>
        <v>33157</v>
      </c>
      <c r="C108" s="219">
        <f t="shared" si="13"/>
        <v>35896</v>
      </c>
      <c r="D108" s="219">
        <f t="shared" si="13"/>
        <v>36489</v>
      </c>
      <c r="E108" s="219">
        <f t="shared" si="13"/>
        <v>37057</v>
      </c>
      <c r="F108" s="219">
        <f t="shared" si="13"/>
        <v>36656</v>
      </c>
      <c r="G108" s="219">
        <f t="shared" si="13"/>
        <v>35897</v>
      </c>
      <c r="H108" s="219">
        <f t="shared" si="13"/>
        <v>36376</v>
      </c>
      <c r="I108" s="219">
        <f t="shared" si="13"/>
        <v>35292</v>
      </c>
      <c r="J108" s="219">
        <f t="shared" si="13"/>
        <v>34651</v>
      </c>
      <c r="K108" s="217">
        <f>-HLOOKUP($A108,'[4]Provider Arm'!$C$919:$AF$949,ROW('[4]Provider Arm'!$A$939)-ROW('[4]Provider Arm'!$A$918),FALSE)</f>
        <v>34608</v>
      </c>
      <c r="L108" s="217">
        <f>-HLOOKUP($A108,'[4]Provider Arm'!$C$1000:$AF$1030,ROW('[4]Provider Arm'!$A$1020)-ROW('[4]Provider Arm'!$A$999),FALSE)</f>
        <v>37622</v>
      </c>
      <c r="M108" s="217">
        <f>-HLOOKUP($A108,'[4]Provider Arm'!$C$1081:$AF$1111,ROW('[4]Provider Arm'!$A$1101)-ROW('[4]Provider Arm'!$A$1080),FALSE)</f>
        <v>30256</v>
      </c>
      <c r="O108" s="210" t="s">
        <v>242</v>
      </c>
      <c r="P108" s="211">
        <f t="shared" si="11"/>
        <v>0.33215126471324818</v>
      </c>
      <c r="Q108" s="211">
        <f t="shared" si="11"/>
        <v>0.33075944934854323</v>
      </c>
      <c r="R108" s="211">
        <f t="shared" si="11"/>
        <v>0.33301694791505054</v>
      </c>
      <c r="S108" s="211">
        <f t="shared" si="11"/>
        <v>0.33330635006296094</v>
      </c>
      <c r="T108" s="211">
        <f t="shared" si="11"/>
        <v>0.32202689999912149</v>
      </c>
      <c r="U108" s="211">
        <f t="shared" si="11"/>
        <v>0.30922231410653989</v>
      </c>
      <c r="V108" s="211">
        <f t="shared" si="11"/>
        <v>0.30809625043407557</v>
      </c>
      <c r="W108" s="211">
        <f t="shared" si="11"/>
        <v>0.29607134168337512</v>
      </c>
      <c r="X108" s="211">
        <f t="shared" si="11"/>
        <v>0.28585688594103187</v>
      </c>
      <c r="Y108" s="211">
        <f t="shared" si="11"/>
        <v>0.2792566711584859</v>
      </c>
      <c r="Z108" s="211">
        <f t="shared" si="11"/>
        <v>0.28262143361528869</v>
      </c>
      <c r="AA108" s="211">
        <f t="shared" si="11"/>
        <v>0.28550399154509598</v>
      </c>
      <c r="AB108" s="212"/>
    </row>
    <row r="109" spans="1:28">
      <c r="A109" s="213" t="s">
        <v>243</v>
      </c>
      <c r="B109" s="53">
        <f t="shared" si="13"/>
        <v>2056163.5871000006</v>
      </c>
      <c r="C109" s="53">
        <f t="shared" si="13"/>
        <v>2224259.0907000005</v>
      </c>
      <c r="D109" s="53">
        <f t="shared" si="13"/>
        <v>2224313.5834999997</v>
      </c>
      <c r="E109" s="53">
        <f t="shared" si="13"/>
        <v>2550554.5494999997</v>
      </c>
      <c r="F109" s="53">
        <f t="shared" si="13"/>
        <v>2462965.27147</v>
      </c>
      <c r="G109" s="53">
        <f t="shared" si="13"/>
        <v>2507442.6833700007</v>
      </c>
      <c r="H109" s="53">
        <f t="shared" si="13"/>
        <v>2591233.8823100002</v>
      </c>
      <c r="I109" s="53">
        <f t="shared" si="13"/>
        <v>2694004.3694199994</v>
      </c>
      <c r="J109" s="53">
        <f t="shared" si="13"/>
        <v>2700697.5005100006</v>
      </c>
      <c r="K109" s="47">
        <f>-HLOOKUP($A109,'[4]Provider Arm'!$C$919:$AF$949,ROW('[4]Provider Arm'!$A$939)-ROW('[4]Provider Arm'!$A$918),FALSE)</f>
        <v>2766102.0123037002</v>
      </c>
      <c r="L109" s="47">
        <f>-HLOOKUP($A109,'[4]Provider Arm'!$C$1000:$AF$1030,ROW('[4]Provider Arm'!$A$1020)-ROW('[4]Provider Arm'!$A$999),FALSE)</f>
        <v>2972953.1313399998</v>
      </c>
      <c r="M109" s="47">
        <f>-HLOOKUP($A109,'[4]Provider Arm'!$C$1081:$AF$1111,ROW('[4]Provider Arm'!$A$1101)-ROW('[4]Provider Arm'!$A$1080),FALSE)</f>
        <v>2299554.8016100004</v>
      </c>
      <c r="O109" s="213" t="s">
        <v>243</v>
      </c>
      <c r="P109" s="89">
        <f t="shared" si="11"/>
        <v>0.32798194001900577</v>
      </c>
      <c r="Q109" s="89">
        <f t="shared" si="11"/>
        <v>0.32391657292489218</v>
      </c>
      <c r="R109" s="89">
        <f t="shared" si="11"/>
        <v>0.30861427289052945</v>
      </c>
      <c r="S109" s="89">
        <f t="shared" si="11"/>
        <v>0.33631223936269639</v>
      </c>
      <c r="T109" s="89">
        <f t="shared" si="11"/>
        <v>0.31618078048545822</v>
      </c>
      <c r="U109" s="89">
        <f t="shared" si="11"/>
        <v>0.31281344122338839</v>
      </c>
      <c r="V109" s="89">
        <f t="shared" si="11"/>
        <v>0.31212061766407312</v>
      </c>
      <c r="W109" s="89">
        <f t="shared" si="11"/>
        <v>0.31122881289724097</v>
      </c>
      <c r="X109" s="89">
        <f t="shared" si="11"/>
        <v>0.3032206288134926</v>
      </c>
      <c r="Y109" s="89">
        <f t="shared" si="11"/>
        <v>0.29936169581860667</v>
      </c>
      <c r="Z109" s="89">
        <f t="shared" si="11"/>
        <v>0.30152264073011348</v>
      </c>
      <c r="AA109" s="89">
        <f t="shared" si="11"/>
        <v>0.29450083056520171</v>
      </c>
      <c r="AB109" s="89"/>
    </row>
    <row r="111" spans="1:28">
      <c r="A111" s="204" t="s">
        <v>257</v>
      </c>
      <c r="K111" s="9"/>
      <c r="L111" s="9"/>
      <c r="M111" s="9"/>
    </row>
    <row r="112" spans="1:28">
      <c r="A112" s="209" t="s">
        <v>221</v>
      </c>
      <c r="B112" s="47">
        <f>-HLOOKUP($A112,'[4]Provider Arm'!$C$8:$Y$58,ROW('[4]Provider Arm'!$A$52)-ROW('[4]Provider Arm'!A$7),FALSE)</f>
        <v>1025562.3365999999</v>
      </c>
      <c r="C112" s="47">
        <f>-HLOOKUP($A112,'[4]Provider Arm'!$C$140:$Y$190,ROW('[4]Provider Arm'!$A$184)-ROW('[4]Provider Arm'!B$139),FALSE)</f>
        <v>1102462.0490000001</v>
      </c>
      <c r="D112" s="47">
        <f>-HLOOKUP($A112,'[4]Provider Arm'!$C$268:$Y$318,ROW('[4]Provider Arm'!$A$312)-ROW('[4]Provider Arm'!C$267),FALSE)</f>
        <v>1149125.777</v>
      </c>
      <c r="E112" s="47">
        <f>-HLOOKUP($A112,'[4]Provider Arm'!$C$394:$Y$444,ROW('[4]Provider Arm'!$A$438)-ROW('[4]Provider Arm'!D$393),FALSE)</f>
        <v>1198746.767</v>
      </c>
      <c r="F112" s="47">
        <f>-HLOOKUP($A112,'[4]Provider Arm'!$C$516:$AE$546,ROW('[4]Provider Arm'!$A$538)-ROW('[4]Provider Arm'!E$515),FALSE)</f>
        <v>1234849.3060400002</v>
      </c>
      <c r="G112" s="47">
        <f>-HLOOKUP($A112,'[4]Provider Arm'!$C$596:$AE$626,ROW('[4]Provider Arm'!$A$618)-ROW('[4]Provider Arm'!F$595),FALSE)</f>
        <v>1260321.855</v>
      </c>
      <c r="H112" s="47">
        <f>-HLOOKUP($A112,'[4]Provider Arm'!$C$676:$AE$706,ROW('[4]Provider Arm'!$A$698)-ROW('[4]Provider Arm'!G$675),FALSE)</f>
        <v>1301789.2239999999</v>
      </c>
      <c r="I112" s="47">
        <f>-HLOOKUP($A112,'[4]Provider Arm'!$C$757:$AF$787,ROW('[4]Provider Arm'!$A$779)-ROW('[4]Provider Arm'!H$756),FALSE)</f>
        <v>1344856.6029999999</v>
      </c>
      <c r="J112" s="47">
        <f>-HLOOKUP($A112,'[4]Provider Arm'!$C$838:$AF$868,ROW('[4]Provider Arm'!$A$860)-ROW('[4]Provider Arm'!I$837),FALSE)</f>
        <v>1401277.0509999997</v>
      </c>
      <c r="K112" s="47">
        <f>-HLOOKUP($A112,'[4]Provider Arm'!$C$919:$AF$949,ROW('[4]Provider Arm'!$A$941)-ROW('[4]Provider Arm'!$A$918),FALSE)</f>
        <v>1478681.9989999996</v>
      </c>
      <c r="L112" s="47">
        <f>-HLOOKUP($A112,'[4]Provider Arm'!$C$1000:$AF$1030,ROW('[4]Provider Arm'!$A$1022)-ROW('[4]Provider Arm'!$A$999),FALSE)</f>
        <v>1563118.6879999998</v>
      </c>
      <c r="M112" s="47">
        <f>-HLOOKUP($A112,'[4]Provider Arm'!$C$1081:$AF$1111,ROW('[4]Provider Arm'!$A$1103)-ROW('[4]Provider Arm'!$A$1080),FALSE)</f>
        <v>1238951.4089999998</v>
      </c>
      <c r="P112" s="197"/>
      <c r="Q112" s="197"/>
      <c r="R112" s="197"/>
      <c r="S112" s="197"/>
      <c r="T112" s="197"/>
      <c r="U112" s="197"/>
      <c r="V112" s="197"/>
      <c r="W112" s="197"/>
      <c r="X112" s="197"/>
    </row>
    <row r="113" spans="1:24">
      <c r="A113" s="209" t="s">
        <v>222</v>
      </c>
      <c r="B113" s="47">
        <f>-HLOOKUP($A113,'[4]Provider Arm'!$C$8:$Y$58,ROW('[4]Provider Arm'!$A$52)-ROW('[4]Provider Arm'!A$7),FALSE)</f>
        <v>259245</v>
      </c>
      <c r="C113" s="47">
        <f>-HLOOKUP($A113,'[4]Provider Arm'!$C$140:$Y$190,ROW('[4]Provider Arm'!$A$184)-ROW('[4]Provider Arm'!B$139),FALSE)</f>
        <v>287831</v>
      </c>
      <c r="D113" s="47">
        <f>-HLOOKUP($A113,'[4]Provider Arm'!$C$268:$Y$318,ROW('[4]Provider Arm'!$A$312)-ROW('[4]Provider Arm'!C$267),FALSE)</f>
        <v>301271</v>
      </c>
      <c r="E113" s="47">
        <f>-HLOOKUP($A113,'[4]Provider Arm'!$C$394:$Y$444,ROW('[4]Provider Arm'!$A$438)-ROW('[4]Provider Arm'!D$393),FALSE)</f>
        <v>307770</v>
      </c>
      <c r="F113" s="47">
        <f>-HLOOKUP($A113,'[4]Provider Arm'!$C$516:$AE$546,ROW('[4]Provider Arm'!$A$538)-ROW('[4]Provider Arm'!E$515),FALSE)</f>
        <v>324889</v>
      </c>
      <c r="G113" s="47">
        <f>-HLOOKUP($A113,'[4]Provider Arm'!$C$596:$AE$626,ROW('[4]Provider Arm'!$A$618)-ROW('[4]Provider Arm'!F$595),FALSE)</f>
        <v>338302</v>
      </c>
      <c r="H113" s="47">
        <f>-HLOOKUP($A113,'[4]Provider Arm'!$C$676:$AE$706,ROW('[4]Provider Arm'!$A$698)-ROW('[4]Provider Arm'!G$675),FALSE)</f>
        <v>339958</v>
      </c>
      <c r="I113" s="47">
        <f>-HLOOKUP($A113,'[4]Provider Arm'!$C$757:$AF$787,ROW('[4]Provider Arm'!$A$779)-ROW('[4]Provider Arm'!H$756),FALSE)</f>
        <v>361134</v>
      </c>
      <c r="J113" s="47">
        <f>-HLOOKUP($A113,'[4]Provider Arm'!$C$838:$AF$868,ROW('[4]Provider Arm'!$A$860)-ROW('[4]Provider Arm'!I$837),FALSE)</f>
        <v>378817.84672000009</v>
      </c>
      <c r="K113" s="47">
        <f>-HLOOKUP($A113,'[4]Provider Arm'!$C$919:$AF$949,ROW('[4]Provider Arm'!$A$941)-ROW('[4]Provider Arm'!$A$918),FALSE)</f>
        <v>392151.14332999999</v>
      </c>
      <c r="L113" s="47">
        <f>-HLOOKUP($A113,'[4]Provider Arm'!$C$1000:$AF$1030,ROW('[4]Provider Arm'!$A$1022)-ROW('[4]Provider Arm'!$A$999),FALSE)</f>
        <v>426156.64029999997</v>
      </c>
      <c r="M113" s="47">
        <f>-HLOOKUP($A113,'[4]Provider Arm'!$C$1081:$AF$1111,ROW('[4]Provider Arm'!$A$1103)-ROW('[4]Provider Arm'!$A$1080),FALSE)</f>
        <v>336505.71796000004</v>
      </c>
      <c r="P113" s="197"/>
      <c r="Q113" s="197"/>
      <c r="R113" s="197"/>
      <c r="S113" s="197"/>
      <c r="T113" s="197"/>
      <c r="U113" s="197"/>
      <c r="V113" s="197"/>
      <c r="W113" s="197"/>
      <c r="X113" s="197"/>
    </row>
    <row r="114" spans="1:24">
      <c r="A114" s="209" t="s">
        <v>223</v>
      </c>
      <c r="B114" s="47">
        <f>-HLOOKUP($A114,'[4]Provider Arm'!$C$8:$Y$58,ROW('[4]Provider Arm'!$A$52)-ROW('[4]Provider Arm'!A$7),FALSE)</f>
        <v>713027</v>
      </c>
      <c r="C114" s="47">
        <f>-HLOOKUP($A114,'[4]Provider Arm'!$C$140:$Y$190,ROW('[4]Provider Arm'!$A$184)-ROW('[4]Provider Arm'!B$139),FALSE)</f>
        <v>765063</v>
      </c>
      <c r="D114" s="47">
        <f>-HLOOKUP($A114,'[4]Provider Arm'!$C$268:$Y$318,ROW('[4]Provider Arm'!$A$312)-ROW('[4]Provider Arm'!C$267),FALSE)</f>
        <v>801055</v>
      </c>
      <c r="E114" s="47">
        <f>-HLOOKUP($A114,'[4]Provider Arm'!$C$394:$Y$444,ROW('[4]Provider Arm'!$A$438)-ROW('[4]Provider Arm'!D$393),FALSE)</f>
        <v>834561</v>
      </c>
      <c r="F114" s="47">
        <f>-HLOOKUP($A114,'[4]Provider Arm'!$C$516:$AE$546,ROW('[4]Provider Arm'!$A$538)-ROW('[4]Provider Arm'!E$515),FALSE)</f>
        <v>889618</v>
      </c>
      <c r="G114" s="47">
        <f>-HLOOKUP($A114,'[4]Provider Arm'!$C$596:$AE$626,ROW('[4]Provider Arm'!$A$618)-ROW('[4]Provider Arm'!F$595),FALSE)</f>
        <v>919655</v>
      </c>
      <c r="H114" s="47">
        <f>-HLOOKUP($A114,'[4]Provider Arm'!$C$676:$AE$706,ROW('[4]Provider Arm'!$A$698)-ROW('[4]Provider Arm'!G$675),FALSE)</f>
        <v>950002</v>
      </c>
      <c r="I114" s="47">
        <f>-HLOOKUP($A114,'[4]Provider Arm'!$C$757:$AF$787,ROW('[4]Provider Arm'!$A$779)-ROW('[4]Provider Arm'!H$756),FALSE)</f>
        <v>990407.56</v>
      </c>
      <c r="J114" s="47">
        <f>-HLOOKUP($A114,'[4]Provider Arm'!$C$838:$AF$868,ROW('[4]Provider Arm'!$A$860)-ROW('[4]Provider Arm'!I$837),FALSE)</f>
        <v>1012178</v>
      </c>
      <c r="K114" s="47">
        <f>-HLOOKUP($A114,'[4]Provider Arm'!$C$919:$AF$949,ROW('[4]Provider Arm'!$A$941)-ROW('[4]Provider Arm'!$A$918),FALSE)</f>
        <v>1061020</v>
      </c>
      <c r="L114" s="47">
        <f>-HLOOKUP($A114,'[4]Provider Arm'!$C$1000:$AF$1030,ROW('[4]Provider Arm'!$A$1022)-ROW('[4]Provider Arm'!$A$999),FALSE)</f>
        <v>1115315</v>
      </c>
      <c r="M114" s="47">
        <f>-HLOOKUP($A114,'[4]Provider Arm'!$C$1081:$AF$1111,ROW('[4]Provider Arm'!$A$1103)-ROW('[4]Provider Arm'!$A$1080),FALSE)</f>
        <v>878093</v>
      </c>
      <c r="P114" s="197"/>
      <c r="Q114" s="197"/>
      <c r="R114" s="197"/>
      <c r="S114" s="197"/>
      <c r="T114" s="197"/>
      <c r="U114" s="197"/>
      <c r="V114" s="197"/>
      <c r="W114" s="197"/>
      <c r="X114" s="197"/>
    </row>
    <row r="115" spans="1:24">
      <c r="A115" s="209" t="s">
        <v>224</v>
      </c>
      <c r="B115" s="47">
        <f>-HLOOKUP($A115,'[4]Provider Arm'!$C$8:$Y$58,ROW('[4]Provider Arm'!$A$52)-ROW('[4]Provider Arm'!A$7),FALSE)</f>
        <v>478175.59790000005</v>
      </c>
      <c r="C115" s="47">
        <f>-HLOOKUP($A115,'[4]Provider Arm'!$C$140:$Y$190,ROW('[4]Provider Arm'!$A$184)-ROW('[4]Provider Arm'!B$139),FALSE)</f>
        <v>523708.91070000001</v>
      </c>
      <c r="D115" s="47">
        <f>-HLOOKUP($A115,'[4]Provider Arm'!$C$268:$Y$318,ROW('[4]Provider Arm'!$A$312)-ROW('[4]Provider Arm'!C$267),FALSE)</f>
        <v>577281.97609999997</v>
      </c>
      <c r="E115" s="47">
        <f>-HLOOKUP($A115,'[4]Provider Arm'!$C$394:$Y$444,ROW('[4]Provider Arm'!$A$438)-ROW('[4]Provider Arm'!D$393),FALSE)</f>
        <v>575647.78410000005</v>
      </c>
      <c r="F115" s="47">
        <f>-HLOOKUP($A115,'[4]Provider Arm'!$C$516:$AE$546,ROW('[4]Provider Arm'!$A$538)-ROW('[4]Provider Arm'!E$515),FALSE)</f>
        <v>612395.51436999999</v>
      </c>
      <c r="G115" s="47">
        <f>-HLOOKUP($A115,'[4]Provider Arm'!$C$596:$AE$626,ROW('[4]Provider Arm'!$A$618)-ROW('[4]Provider Arm'!F$595),FALSE)</f>
        <v>624851.30785999994</v>
      </c>
      <c r="H115" s="47">
        <f>-HLOOKUP($A115,'[4]Provider Arm'!$C$676:$AE$706,ROW('[4]Provider Arm'!$A$698)-ROW('[4]Provider Arm'!G$675),FALSE)</f>
        <v>650066.58484000002</v>
      </c>
      <c r="I115" s="47">
        <f>-HLOOKUP($A115,'[4]Provider Arm'!$C$757:$AF$787,ROW('[4]Provider Arm'!$A$779)-ROW('[4]Provider Arm'!H$756),FALSE)</f>
        <v>663863.24735000008</v>
      </c>
      <c r="J115" s="47">
        <f>-HLOOKUP($A115,'[4]Provider Arm'!$C$838:$AF$868,ROW('[4]Provider Arm'!$A$860)-ROW('[4]Provider Arm'!I$837),FALSE)</f>
        <v>686163.16475000023</v>
      </c>
      <c r="K115" s="47">
        <f>-HLOOKUP($A115,'[4]Provider Arm'!$C$919:$AF$949,ROW('[4]Provider Arm'!$A$941)-ROW('[4]Provider Arm'!$A$918),FALSE)</f>
        <v>698433.97716000013</v>
      </c>
      <c r="L115" s="47">
        <f>-HLOOKUP($A115,'[4]Provider Arm'!$C$1000:$AF$1030,ROW('[4]Provider Arm'!$A$1022)-ROW('[4]Provider Arm'!$A$999),FALSE)</f>
        <v>736940.17328999995</v>
      </c>
      <c r="M115" s="47">
        <f>-HLOOKUP($A115,'[4]Provider Arm'!$C$1081:$AF$1111,ROW('[4]Provider Arm'!$A$1103)-ROW('[4]Provider Arm'!$A$1080),FALSE)</f>
        <v>577607.76811000006</v>
      </c>
      <c r="P115" s="197"/>
      <c r="Q115" s="197"/>
      <c r="R115" s="197"/>
      <c r="S115" s="197"/>
      <c r="T115" s="197"/>
      <c r="U115" s="197"/>
      <c r="V115" s="197"/>
      <c r="W115" s="197"/>
      <c r="X115" s="197"/>
    </row>
    <row r="116" spans="1:24">
      <c r="A116" s="209" t="s">
        <v>225</v>
      </c>
      <c r="B116" s="47">
        <f>-HLOOKUP($A116,'[4]Provider Arm'!$C$8:$Y$58,ROW('[4]Provider Arm'!$A$52)-ROW('[4]Provider Arm'!A$7),FALSE)</f>
        <v>560139</v>
      </c>
      <c r="C116" s="47">
        <f>-HLOOKUP($A116,'[4]Provider Arm'!$C$140:$Y$190,ROW('[4]Provider Arm'!$A$184)-ROW('[4]Provider Arm'!B$139),FALSE)</f>
        <v>618925</v>
      </c>
      <c r="D116" s="47">
        <f>-HLOOKUP($A116,'[4]Provider Arm'!$C$268:$Y$318,ROW('[4]Provider Arm'!$A$312)-ROW('[4]Provider Arm'!C$267),FALSE)</f>
        <v>656001</v>
      </c>
      <c r="E116" s="47">
        <f>-HLOOKUP($A116,'[4]Provider Arm'!$C$394:$Y$444,ROW('[4]Provider Arm'!$A$438)-ROW('[4]Provider Arm'!D$393),FALSE)</f>
        <v>779674</v>
      </c>
      <c r="F116" s="47">
        <f>-HLOOKUP($A116,'[4]Provider Arm'!$C$516:$AE$546,ROW('[4]Provider Arm'!$A$538)-ROW('[4]Provider Arm'!E$515),FALSE)</f>
        <v>737015</v>
      </c>
      <c r="G116" s="47">
        <f>-HLOOKUP($A116,'[4]Provider Arm'!$C$596:$AE$626,ROW('[4]Provider Arm'!$A$618)-ROW('[4]Provider Arm'!F$595),FALSE)</f>
        <v>764292</v>
      </c>
      <c r="H116" s="47">
        <f>-HLOOKUP($A116,'[4]Provider Arm'!$C$676:$AE$706,ROW('[4]Provider Arm'!$A$698)-ROW('[4]Provider Arm'!G$675),FALSE)</f>
        <v>798103</v>
      </c>
      <c r="I116" s="47">
        <f>-HLOOKUP($A116,'[4]Provider Arm'!$C$757:$AF$787,ROW('[4]Provider Arm'!$A$779)-ROW('[4]Provider Arm'!H$756),FALSE)</f>
        <v>834880</v>
      </c>
      <c r="J116" s="47">
        <f>-HLOOKUP($A116,'[4]Provider Arm'!$C$838:$AF$868,ROW('[4]Provider Arm'!$A$860)-ROW('[4]Provider Arm'!I$837),FALSE)</f>
        <v>859748</v>
      </c>
      <c r="K116" s="47">
        <f>-HLOOKUP($A116,'[4]Provider Arm'!$C$919:$AF$949,ROW('[4]Provider Arm'!$A$941)-ROW('[4]Provider Arm'!$A$918),FALSE)</f>
        <v>897663</v>
      </c>
      <c r="L116" s="47">
        <f>-HLOOKUP($A116,'[4]Provider Arm'!$C$1000:$AF$1030,ROW('[4]Provider Arm'!$A$1022)-ROW('[4]Provider Arm'!$A$999),FALSE)</f>
        <v>961514</v>
      </c>
      <c r="M116" s="47">
        <f>-HLOOKUP($A116,'[4]Provider Arm'!$C$1081:$AF$1111,ROW('[4]Provider Arm'!$A$1103)-ROW('[4]Provider Arm'!$A$1080),FALSE)</f>
        <v>763265</v>
      </c>
      <c r="P116" s="197"/>
      <c r="Q116" s="197"/>
      <c r="R116" s="197"/>
      <c r="S116" s="197"/>
      <c r="T116" s="197"/>
      <c r="U116" s="197"/>
      <c r="V116" s="197"/>
      <c r="W116" s="197"/>
      <c r="X116" s="197"/>
    </row>
    <row r="117" spans="1:24">
      <c r="A117" s="209" t="s">
        <v>226</v>
      </c>
      <c r="B117" s="47">
        <f>-HLOOKUP($A117,'[4]Provider Arm'!$C$8:$Y$58,ROW('[4]Provider Arm'!$A$52)-ROW('[4]Provider Arm'!A$7),FALSE)</f>
        <v>218564.17469999997</v>
      </c>
      <c r="C117" s="47">
        <f>-HLOOKUP($A117,'[4]Provider Arm'!$C$140:$Y$190,ROW('[4]Provider Arm'!$A$184)-ROW('[4]Provider Arm'!B$139),FALSE)</f>
        <v>236285.37060000002</v>
      </c>
      <c r="D117" s="47">
        <f>-HLOOKUP($A117,'[4]Provider Arm'!$C$268:$Y$318,ROW('[4]Provider Arm'!$A$312)-ROW('[4]Provider Arm'!C$267),FALSE)</f>
        <v>239494.59010000003</v>
      </c>
      <c r="E117" s="47">
        <f>-HLOOKUP($A117,'[4]Provider Arm'!$C$394:$Y$444,ROW('[4]Provider Arm'!$A$438)-ROW('[4]Provider Arm'!D$393),FALSE)</f>
        <v>242002.3603</v>
      </c>
      <c r="F117" s="47">
        <f>-HLOOKUP($A117,'[4]Provider Arm'!$C$516:$AE$546,ROW('[4]Provider Arm'!$A$538)-ROW('[4]Provider Arm'!E$515),FALSE)</f>
        <v>253373.64998000005</v>
      </c>
      <c r="G117" s="47">
        <f>-HLOOKUP($A117,'[4]Provider Arm'!$C$596:$AE$626,ROW('[4]Provider Arm'!$A$618)-ROW('[4]Provider Arm'!F$595),FALSE)</f>
        <v>258832.90557</v>
      </c>
      <c r="H117" s="47">
        <f>-HLOOKUP($A117,'[4]Provider Arm'!$C$676:$AE$706,ROW('[4]Provider Arm'!$A$698)-ROW('[4]Provider Arm'!G$675),FALSE)</f>
        <v>272329.03738999995</v>
      </c>
      <c r="I117" s="47">
        <f>-HLOOKUP($A117,'[4]Provider Arm'!$C$757:$AF$787,ROW('[4]Provider Arm'!$A$779)-ROW('[4]Provider Arm'!H$756),FALSE)</f>
        <v>280579.12129999994</v>
      </c>
      <c r="J117" s="47">
        <f>-HLOOKUP($A117,'[4]Provider Arm'!$C$838:$AF$868,ROW('[4]Provider Arm'!$A$860)-ROW('[4]Provider Arm'!I$837),FALSE)</f>
        <v>290158.70877999975</v>
      </c>
      <c r="K117" s="47">
        <f>-HLOOKUP($A117,'[4]Provider Arm'!$C$919:$AF$949,ROW('[4]Provider Arm'!$A$941)-ROW('[4]Provider Arm'!$A$918),FALSE)</f>
        <v>304967.15964999999</v>
      </c>
      <c r="L117" s="47">
        <f>-HLOOKUP($A117,'[4]Provider Arm'!$C$1000:$AF$1030,ROW('[4]Provider Arm'!$A$1022)-ROW('[4]Provider Arm'!$A$999),FALSE)</f>
        <v>326451.8188200001</v>
      </c>
      <c r="M117" s="47">
        <f>-HLOOKUP($A117,'[4]Provider Arm'!$C$1081:$AF$1111,ROW('[4]Provider Arm'!$A$1103)-ROW('[4]Provider Arm'!$A$1080),FALSE)</f>
        <v>260317.12405000001</v>
      </c>
      <c r="P117" s="197"/>
      <c r="Q117" s="197"/>
      <c r="R117" s="197"/>
      <c r="S117" s="197"/>
      <c r="T117" s="197"/>
      <c r="U117" s="197"/>
      <c r="V117" s="197"/>
      <c r="W117" s="197"/>
      <c r="X117" s="197"/>
    </row>
    <row r="118" spans="1:24">
      <c r="A118" s="209" t="s">
        <v>227</v>
      </c>
      <c r="B118" s="47">
        <f>-HLOOKUP($A118,'[4]Provider Arm'!$C$8:$Y$58,ROW('[4]Provider Arm'!$A$52)-ROW('[4]Provider Arm'!A$7),FALSE)</f>
        <v>177638</v>
      </c>
      <c r="C118" s="47">
        <f>-HLOOKUP($A118,'[4]Provider Arm'!$C$140:$Y$190,ROW('[4]Provider Arm'!$A$184)-ROW('[4]Provider Arm'!B$139),FALSE)</f>
        <v>197050</v>
      </c>
      <c r="D118" s="47">
        <f>-HLOOKUP($A118,'[4]Provider Arm'!$C$268:$Y$318,ROW('[4]Provider Arm'!$A$312)-ROW('[4]Provider Arm'!C$267),FALSE)</f>
        <v>208440</v>
      </c>
      <c r="E118" s="47">
        <f>-HLOOKUP($A118,'[4]Provider Arm'!$C$394:$Y$444,ROW('[4]Provider Arm'!$A$438)-ROW('[4]Provider Arm'!D$393),FALSE)</f>
        <v>213611</v>
      </c>
      <c r="F118" s="47">
        <f>-HLOOKUP($A118,'[4]Provider Arm'!$C$516:$AE$546,ROW('[4]Provider Arm'!$A$538)-ROW('[4]Provider Arm'!E$515),FALSE)</f>
        <v>218668</v>
      </c>
      <c r="G118" s="47">
        <f>-HLOOKUP($A118,'[4]Provider Arm'!$C$596:$AE$626,ROW('[4]Provider Arm'!$A$618)-ROW('[4]Provider Arm'!F$595),FALSE)</f>
        <v>224374</v>
      </c>
      <c r="H118" s="47">
        <f>-HLOOKUP($A118,'[4]Provider Arm'!$C$676:$AE$706,ROW('[4]Provider Arm'!$A$698)-ROW('[4]Provider Arm'!G$675),FALSE)</f>
        <v>230783</v>
      </c>
      <c r="I118" s="47">
        <f>-HLOOKUP($A118,'[4]Provider Arm'!$C$757:$AF$787,ROW('[4]Provider Arm'!$A$779)-ROW('[4]Provider Arm'!H$756),FALSE)</f>
        <v>242941</v>
      </c>
      <c r="J118" s="47">
        <f>-HLOOKUP($A118,'[4]Provider Arm'!$C$838:$AF$868,ROW('[4]Provider Arm'!$A$860)-ROW('[4]Provider Arm'!I$837),FALSE)</f>
        <v>248820</v>
      </c>
      <c r="K118" s="47">
        <f>-HLOOKUP($A118,'[4]Provider Arm'!$C$919:$AF$949,ROW('[4]Provider Arm'!$A$941)-ROW('[4]Provider Arm'!$A$918),FALSE)</f>
        <v>246520</v>
      </c>
      <c r="L118" s="47">
        <f>-HLOOKUP($A118,'[4]Provider Arm'!$C$1000:$AF$1030,ROW('[4]Provider Arm'!$A$1022)-ROW('[4]Provider Arm'!$A$999),FALSE)</f>
        <v>258756</v>
      </c>
      <c r="M118" s="47">
        <f>-HLOOKUP($A118,'[4]Provider Arm'!$C$1081:$AF$1111,ROW('[4]Provider Arm'!$A$1103)-ROW('[4]Provider Arm'!$A$1080),FALSE)</f>
        <v>202439.12289</v>
      </c>
      <c r="P118" s="197"/>
      <c r="Q118" s="197"/>
      <c r="R118" s="197"/>
      <c r="S118" s="197"/>
      <c r="T118" s="197"/>
      <c r="U118" s="197"/>
      <c r="V118" s="197"/>
      <c r="W118" s="197"/>
      <c r="X118" s="197"/>
    </row>
    <row r="119" spans="1:24">
      <c r="A119" s="209" t="s">
        <v>228</v>
      </c>
      <c r="B119" s="47">
        <f>-HLOOKUP($A119,'[4]Provider Arm'!$C$8:$Y$58,ROW('[4]Provider Arm'!$A$52)-ROW('[4]Provider Arm'!A$7),FALSE)</f>
        <v>122660</v>
      </c>
      <c r="C119" s="47">
        <f>-HLOOKUP($A119,'[4]Provider Arm'!$C$140:$Y$190,ROW('[4]Provider Arm'!$A$184)-ROW('[4]Provider Arm'!B$139),FALSE)</f>
        <v>132013</v>
      </c>
      <c r="D119" s="47">
        <f>-HLOOKUP($A119,'[4]Provider Arm'!$C$268:$Y$318,ROW('[4]Provider Arm'!$A$312)-ROW('[4]Provider Arm'!C$267),FALSE)</f>
        <v>140473.7905</v>
      </c>
      <c r="E119" s="47">
        <f>-HLOOKUP($A119,'[4]Provider Arm'!$C$394:$Y$444,ROW('[4]Provider Arm'!$A$438)-ROW('[4]Provider Arm'!D$393),FALSE)</f>
        <v>144942.8811</v>
      </c>
      <c r="F119" s="47">
        <f>-HLOOKUP($A119,'[4]Provider Arm'!$C$516:$AE$546,ROW('[4]Provider Arm'!$A$538)-ROW('[4]Provider Arm'!E$515),FALSE)</f>
        <v>153503</v>
      </c>
      <c r="G119" s="47">
        <f>-HLOOKUP($A119,'[4]Provider Arm'!$C$596:$AE$626,ROW('[4]Provider Arm'!$A$618)-ROW('[4]Provider Arm'!F$595),FALSE)</f>
        <v>156112</v>
      </c>
      <c r="H119" s="47">
        <f>-HLOOKUP($A119,'[4]Provider Arm'!$C$676:$AE$706,ROW('[4]Provider Arm'!$A$698)-ROW('[4]Provider Arm'!G$675),FALSE)</f>
        <v>159796</v>
      </c>
      <c r="I119" s="47">
        <f>-HLOOKUP($A119,'[4]Provider Arm'!$C$757:$AF$787,ROW('[4]Provider Arm'!$A$779)-ROW('[4]Provider Arm'!H$756),FALSE)</f>
        <v>170095</v>
      </c>
      <c r="J119" s="47">
        <f>-HLOOKUP($A119,'[4]Provider Arm'!$C$838:$AF$868,ROW('[4]Provider Arm'!$A$860)-ROW('[4]Provider Arm'!I$837),FALSE)</f>
        <v>174106</v>
      </c>
      <c r="K119" s="47">
        <f>-HLOOKUP($A119,'[4]Provider Arm'!$C$919:$AF$949,ROW('[4]Provider Arm'!$A$941)-ROW('[4]Provider Arm'!$A$918),FALSE)</f>
        <v>179399</v>
      </c>
      <c r="L119" s="47">
        <f>-HLOOKUP($A119,'[4]Provider Arm'!$C$1000:$AF$1030,ROW('[4]Provider Arm'!$A$1022)-ROW('[4]Provider Arm'!$A$999),FALSE)</f>
        <v>198686</v>
      </c>
      <c r="M119" s="47">
        <f>-HLOOKUP($A119,'[4]Provider Arm'!$C$1081:$AF$1111,ROW('[4]Provider Arm'!$A$1103)-ROW('[4]Provider Arm'!$A$1080),FALSE)</f>
        <v>156220</v>
      </c>
      <c r="P119" s="197"/>
      <c r="Q119" s="197"/>
      <c r="R119" s="197"/>
      <c r="S119" s="197"/>
      <c r="T119" s="197"/>
      <c r="U119" s="197"/>
      <c r="V119" s="197"/>
      <c r="W119" s="197"/>
      <c r="X119" s="197"/>
    </row>
    <row r="120" spans="1:24">
      <c r="A120" s="209" t="s">
        <v>229</v>
      </c>
      <c r="B120" s="47">
        <f>-HLOOKUP($A120,'[4]Provider Arm'!$C$8:$Y$58,ROW('[4]Provider Arm'!$A$52)-ROW('[4]Provider Arm'!A$7),FALSE)</f>
        <v>267338</v>
      </c>
      <c r="C120" s="47">
        <f>-HLOOKUP($A120,'[4]Provider Arm'!$C$140:$Y$190,ROW('[4]Provider Arm'!$A$184)-ROW('[4]Provider Arm'!B$139),FALSE)</f>
        <v>288064</v>
      </c>
      <c r="D120" s="47">
        <f>-HLOOKUP($A120,'[4]Provider Arm'!$C$268:$Y$318,ROW('[4]Provider Arm'!$A$312)-ROW('[4]Provider Arm'!C$267),FALSE)</f>
        <v>302210</v>
      </c>
      <c r="E120" s="47">
        <f>-HLOOKUP($A120,'[4]Provider Arm'!$C$394:$Y$444,ROW('[4]Provider Arm'!$A$438)-ROW('[4]Provider Arm'!D$393),FALSE)</f>
        <v>301546</v>
      </c>
      <c r="F120" s="47">
        <f>-HLOOKUP($A120,'[4]Provider Arm'!$C$516:$AE$546,ROW('[4]Provider Arm'!$A$538)-ROW('[4]Provider Arm'!E$515),FALSE)</f>
        <v>319782</v>
      </c>
      <c r="G120" s="47">
        <f>-HLOOKUP($A120,'[4]Provider Arm'!$C$596:$AE$626,ROW('[4]Provider Arm'!$A$618)-ROW('[4]Provider Arm'!F$595),FALSE)</f>
        <v>337178</v>
      </c>
      <c r="H120" s="47">
        <f>-HLOOKUP($A120,'[4]Provider Arm'!$C$676:$AE$706,ROW('[4]Provider Arm'!$A$698)-ROW('[4]Provider Arm'!G$675),FALSE)</f>
        <v>350600</v>
      </c>
      <c r="I120" s="47">
        <f>-HLOOKUP($A120,'[4]Provider Arm'!$C$757:$AF$787,ROW('[4]Provider Arm'!$A$779)-ROW('[4]Provider Arm'!H$756),FALSE)</f>
        <v>355176</v>
      </c>
      <c r="J120" s="47">
        <f>-HLOOKUP($A120,'[4]Provider Arm'!$C$838:$AF$868,ROW('[4]Provider Arm'!$A$860)-ROW('[4]Provider Arm'!I$837),FALSE)</f>
        <v>355320</v>
      </c>
      <c r="K120" s="47">
        <f>-HLOOKUP($A120,'[4]Provider Arm'!$C$919:$AF$949,ROW('[4]Provider Arm'!$A$941)-ROW('[4]Provider Arm'!$A$918),FALSE)</f>
        <v>365226</v>
      </c>
      <c r="L120" s="47">
        <f>-HLOOKUP($A120,'[4]Provider Arm'!$C$1000:$AF$1030,ROW('[4]Provider Arm'!$A$1022)-ROW('[4]Provider Arm'!$A$999),FALSE)</f>
        <v>380498.53935000015</v>
      </c>
      <c r="M120" s="47">
        <f>-HLOOKUP($A120,'[4]Provider Arm'!$C$1081:$AF$1111,ROW('[4]Provider Arm'!$A$1103)-ROW('[4]Provider Arm'!$A$1080),FALSE)</f>
        <v>297535.04930000007</v>
      </c>
      <c r="P120" s="197"/>
      <c r="Q120" s="197"/>
      <c r="R120" s="197"/>
      <c r="S120" s="197"/>
      <c r="T120" s="197"/>
      <c r="U120" s="197"/>
      <c r="V120" s="197"/>
      <c r="W120" s="197"/>
      <c r="X120" s="197"/>
    </row>
    <row r="121" spans="1:24">
      <c r="A121" s="209" t="s">
        <v>230</v>
      </c>
      <c r="B121" s="47">
        <f>-HLOOKUP($A121,'[4]Provider Arm'!$C$8:$Y$58,ROW('[4]Provider Arm'!$A$52)-ROW('[4]Provider Arm'!A$7),FALSE)</f>
        <v>199206.01</v>
      </c>
      <c r="C121" s="47">
        <f>-HLOOKUP($A121,'[4]Provider Arm'!$C$140:$Y$190,ROW('[4]Provider Arm'!$A$184)-ROW('[4]Provider Arm'!B$139),FALSE)</f>
        <v>221029</v>
      </c>
      <c r="D121" s="47">
        <f>-HLOOKUP($A121,'[4]Provider Arm'!$C$268:$Y$318,ROW('[4]Provider Arm'!$A$312)-ROW('[4]Provider Arm'!C$267),FALSE)</f>
        <v>221240.39439999999</v>
      </c>
      <c r="E121" s="47">
        <f>-HLOOKUP($A121,'[4]Provider Arm'!$C$394:$Y$444,ROW('[4]Provider Arm'!$A$438)-ROW('[4]Provider Arm'!D$393),FALSE)</f>
        <v>226106.49319999997</v>
      </c>
      <c r="F121" s="47">
        <f>-HLOOKUP($A121,'[4]Provider Arm'!$C$516:$AE$546,ROW('[4]Provider Arm'!$A$538)-ROW('[4]Provider Arm'!E$515),FALSE)</f>
        <v>235474.00331999996</v>
      </c>
      <c r="G121" s="47">
        <f>-HLOOKUP($A121,'[4]Provider Arm'!$C$596:$AE$626,ROW('[4]Provider Arm'!$A$618)-ROW('[4]Provider Arm'!F$595),FALSE)</f>
        <v>237623.64672999998</v>
      </c>
      <c r="H121" s="47">
        <f>-HLOOKUP($A121,'[4]Provider Arm'!$C$676:$AE$706,ROW('[4]Provider Arm'!$A$698)-ROW('[4]Provider Arm'!G$675),FALSE)</f>
        <v>242784.35000000003</v>
      </c>
      <c r="I121" s="47">
        <f>-HLOOKUP($A121,'[4]Provider Arm'!$C$757:$AF$787,ROW('[4]Provider Arm'!$A$779)-ROW('[4]Provider Arm'!H$756),FALSE)</f>
        <v>250621.23361999996</v>
      </c>
      <c r="J121" s="47">
        <f>-HLOOKUP($A121,'[4]Provider Arm'!$C$838:$AF$868,ROW('[4]Provider Arm'!$A$860)-ROW('[4]Provider Arm'!I$837),FALSE)</f>
        <v>260984.48867000008</v>
      </c>
      <c r="K121" s="47">
        <f>-HLOOKUP($A121,'[4]Provider Arm'!$C$919:$AF$949,ROW('[4]Provider Arm'!$A$941)-ROW('[4]Provider Arm'!$A$918),FALSE)</f>
        <v>263800.08993999998</v>
      </c>
      <c r="L121" s="47">
        <f>-HLOOKUP($A121,'[4]Provider Arm'!$C$1000:$AF$1030,ROW('[4]Provider Arm'!$A$1022)-ROW('[4]Provider Arm'!$A$999),FALSE)</f>
        <v>290902.12322000001</v>
      </c>
      <c r="M121" s="47">
        <f>-HLOOKUP($A121,'[4]Provider Arm'!$C$1081:$AF$1111,ROW('[4]Provider Arm'!$A$1103)-ROW('[4]Provider Arm'!$A$1080),FALSE)</f>
        <v>230167.61511000001</v>
      </c>
      <c r="P121" s="197"/>
      <c r="Q121" s="197"/>
      <c r="R121" s="197"/>
      <c r="S121" s="197"/>
      <c r="T121" s="197"/>
      <c r="U121" s="197"/>
      <c r="V121" s="197"/>
      <c r="W121" s="197"/>
      <c r="X121" s="197"/>
    </row>
    <row r="122" spans="1:24">
      <c r="A122" s="209" t="s">
        <v>231</v>
      </c>
      <c r="B122" s="47">
        <f>-HLOOKUP($A122,'[4]Provider Arm'!$C$8:$Y$58,ROW('[4]Provider Arm'!$A$52)-ROW('[4]Provider Arm'!A$7),FALSE)</f>
        <v>205416.23480000001</v>
      </c>
      <c r="C122" s="47">
        <f>-HLOOKUP($A122,'[4]Provider Arm'!$C$140:$Y$190,ROW('[4]Provider Arm'!$A$184)-ROW('[4]Provider Arm'!B$139),FALSE)</f>
        <v>228104.19520000002</v>
      </c>
      <c r="D122" s="47">
        <f>-HLOOKUP($A122,'[4]Provider Arm'!$C$268:$Y$318,ROW('[4]Provider Arm'!$A$312)-ROW('[4]Provider Arm'!C$267),FALSE)</f>
        <v>249927.22340000002</v>
      </c>
      <c r="E122" s="47">
        <f>-HLOOKUP($A122,'[4]Provider Arm'!$C$394:$Y$444,ROW('[4]Provider Arm'!$A$438)-ROW('[4]Provider Arm'!D$393),FALSE)</f>
        <v>260957.58900000004</v>
      </c>
      <c r="F122" s="47">
        <f>-HLOOKUP($A122,'[4]Provider Arm'!$C$516:$AE$546,ROW('[4]Provider Arm'!$A$538)-ROW('[4]Provider Arm'!E$515),FALSE)</f>
        <v>271586.96348000003</v>
      </c>
      <c r="G122" s="47">
        <f>-HLOOKUP($A122,'[4]Provider Arm'!$C$596:$AE$626,ROW('[4]Provider Arm'!$A$618)-ROW('[4]Provider Arm'!F$595),FALSE)</f>
        <v>282961.98345999996</v>
      </c>
      <c r="H122" s="47">
        <f>-HLOOKUP($A122,'[4]Provider Arm'!$C$676:$AE$706,ROW('[4]Provider Arm'!$A$698)-ROW('[4]Provider Arm'!G$675),FALSE)</f>
        <v>294393.84616900003</v>
      </c>
      <c r="I122" s="47">
        <f>-HLOOKUP($A122,'[4]Provider Arm'!$C$757:$AF$787,ROW('[4]Provider Arm'!$A$779)-ROW('[4]Provider Arm'!H$756),FALSE)</f>
        <v>306284.69527999987</v>
      </c>
      <c r="J122" s="47">
        <f>-HLOOKUP($A122,'[4]Provider Arm'!$C$838:$AF$868,ROW('[4]Provider Arm'!$A$860)-ROW('[4]Provider Arm'!I$837),FALSE)</f>
        <v>323159.13142000017</v>
      </c>
      <c r="K122" s="47">
        <f>-HLOOKUP($A122,'[4]Provider Arm'!$C$919:$AF$949,ROW('[4]Provider Arm'!$A$941)-ROW('[4]Provider Arm'!$A$918),FALSE)</f>
        <v>336822.12782369991</v>
      </c>
      <c r="L122" s="47">
        <f>-HLOOKUP($A122,'[4]Provider Arm'!$C$1000:$AF$1030,ROW('[4]Provider Arm'!$A$1022)-ROW('[4]Provider Arm'!$A$999),FALSE)</f>
        <v>369972.54323999886</v>
      </c>
      <c r="M122" s="47">
        <f>-HLOOKUP($A122,'[4]Provider Arm'!$C$1081:$AF$1111,ROW('[4]Provider Arm'!$A$1103)-ROW('[4]Provider Arm'!$A$1080),FALSE)</f>
        <v>298447.96470999997</v>
      </c>
      <c r="P122" s="197"/>
      <c r="Q122" s="197"/>
      <c r="R122" s="197"/>
      <c r="S122" s="197"/>
      <c r="T122" s="197"/>
      <c r="U122" s="197"/>
      <c r="V122" s="197"/>
      <c r="W122" s="197"/>
      <c r="X122" s="197"/>
    </row>
    <row r="123" spans="1:24">
      <c r="A123" s="209" t="s">
        <v>232</v>
      </c>
      <c r="B123" s="47">
        <f>-HLOOKUP($A123,'[4]Provider Arm'!$C$8:$Y$58,ROW('[4]Provider Arm'!$A$52)-ROW('[4]Provider Arm'!A$7),FALSE)</f>
        <v>276923.82</v>
      </c>
      <c r="C123" s="47">
        <f>-HLOOKUP($A123,'[4]Provider Arm'!$C$140:$Y$190,ROW('[4]Provider Arm'!$A$184)-ROW('[4]Provider Arm'!B$139),FALSE)</f>
        <v>288858.32</v>
      </c>
      <c r="D123" s="47"/>
      <c r="E123" s="47"/>
      <c r="F123" s="47"/>
      <c r="G123" s="47"/>
      <c r="H123" s="47"/>
      <c r="I123" s="47"/>
      <c r="J123" s="47"/>
      <c r="K123" s="47"/>
      <c r="L123" s="47"/>
      <c r="M123" s="47"/>
      <c r="P123" s="197"/>
      <c r="Q123" s="197"/>
      <c r="R123" s="197"/>
      <c r="S123" s="197"/>
      <c r="T123" s="197"/>
      <c r="U123" s="197"/>
      <c r="V123" s="197"/>
      <c r="W123" s="197"/>
      <c r="X123" s="197"/>
    </row>
    <row r="124" spans="1:24">
      <c r="A124" s="209" t="s">
        <v>233</v>
      </c>
      <c r="B124" s="47">
        <f>-HLOOKUP($A124,'[4]Provider Arm'!$C$8:$Y$58,ROW('[4]Provider Arm'!$A$52)-ROW('[4]Provider Arm'!A$7),FALSE)</f>
        <v>72486</v>
      </c>
      <c r="C124" s="47">
        <f>-HLOOKUP($A124,'[4]Provider Arm'!$C$140:$Y$190,ROW('[4]Provider Arm'!$A$184)-ROW('[4]Provider Arm'!B$139),FALSE)</f>
        <v>78376</v>
      </c>
      <c r="D124" s="47">
        <f>-HLOOKUP($A124,'[4]Provider Arm'!$C$268:$Y$318,ROW('[4]Provider Arm'!$A$312)-ROW('[4]Provider Arm'!C$267),FALSE)</f>
        <v>80172</v>
      </c>
      <c r="E124" s="47">
        <f>-HLOOKUP($A124,'[4]Provider Arm'!$C$394:$Y$444,ROW('[4]Provider Arm'!$A$438)-ROW('[4]Provider Arm'!D$393),FALSE)</f>
        <v>84585</v>
      </c>
      <c r="F124" s="47">
        <f>-HLOOKUP($A124,'[4]Provider Arm'!$C$516:$AE$546,ROW('[4]Provider Arm'!$A$538)-ROW('[4]Provider Arm'!E$515),FALSE)</f>
        <v>87228</v>
      </c>
      <c r="G124" s="47">
        <f>-HLOOKUP($A124,'[4]Provider Arm'!$C$596:$AE$626,ROW('[4]Provider Arm'!$A$618)-ROW('[4]Provider Arm'!F$595),FALSE)</f>
        <v>88469</v>
      </c>
      <c r="H124" s="47">
        <f>-HLOOKUP($A124,'[4]Provider Arm'!$C$676:$AE$706,ROW('[4]Provider Arm'!$A$698)-ROW('[4]Provider Arm'!G$675),FALSE)</f>
        <v>93724</v>
      </c>
      <c r="I124" s="47">
        <f>-HLOOKUP($A124,'[4]Provider Arm'!$C$757:$AF$787,ROW('[4]Provider Arm'!$A$779)-ROW('[4]Provider Arm'!H$756),FALSE)</f>
        <v>97139</v>
      </c>
      <c r="J124" s="47">
        <f>-HLOOKUP($A124,'[4]Provider Arm'!$C$838:$AF$868,ROW('[4]Provider Arm'!$A$860)-ROW('[4]Provider Arm'!I$837),FALSE)</f>
        <v>96141</v>
      </c>
      <c r="K124" s="47">
        <f>-HLOOKUP($A124,'[4]Provider Arm'!$C$919:$AF$949,ROW('[4]Provider Arm'!$A$941)-ROW('[4]Provider Arm'!$A$918),FALSE)</f>
        <v>95146</v>
      </c>
      <c r="L124" s="47">
        <f>-HLOOKUP($A124,'[4]Provider Arm'!$C$1000:$AF$1030,ROW('[4]Provider Arm'!$A$1022)-ROW('[4]Provider Arm'!$A$999),FALSE)</f>
        <v>98582</v>
      </c>
      <c r="M124" s="47">
        <f>-HLOOKUP($A124,'[4]Provider Arm'!$C$1081:$AF$1111,ROW('[4]Provider Arm'!$A$1103)-ROW('[4]Provider Arm'!$A$1080),FALSE)</f>
        <v>76427</v>
      </c>
      <c r="P124" s="197"/>
      <c r="Q124" s="197"/>
      <c r="R124" s="197"/>
      <c r="S124" s="197"/>
      <c r="T124" s="197"/>
      <c r="U124" s="197"/>
      <c r="V124" s="197"/>
      <c r="W124" s="197"/>
      <c r="X124" s="197"/>
    </row>
    <row r="125" spans="1:24">
      <c r="A125" s="209" t="s">
        <v>234</v>
      </c>
      <c r="B125" s="215">
        <f>B123+B126</f>
        <v>399771.63899999997</v>
      </c>
      <c r="C125" s="215">
        <f>C123+C126</f>
        <v>426760.92310000001</v>
      </c>
      <c r="D125" s="47">
        <f>-HLOOKUP($A125,'[4]Provider Arm'!$C$268:$Y$318,ROW('[4]Provider Arm'!$A$312)-ROW('[4]Provider Arm'!C$267),FALSE)</f>
        <v>449867.84630000009</v>
      </c>
      <c r="E125" s="47">
        <f>-HLOOKUP($A125,'[4]Provider Arm'!$C$394:$Y$444,ROW('[4]Provider Arm'!$A$438)-ROW('[4]Provider Arm'!D$393),FALSE)</f>
        <v>456941.41159999999</v>
      </c>
      <c r="F125" s="47">
        <f>-HLOOKUP($A125,'[4]Provider Arm'!$C$516:$AE$546,ROW('[4]Provider Arm'!$A$538)-ROW('[4]Provider Arm'!E$515),FALSE)</f>
        <v>482830.02784</v>
      </c>
      <c r="G125" s="47">
        <f>-HLOOKUP($A125,'[4]Provider Arm'!$C$596:$AE$626,ROW('[4]Provider Arm'!$A$618)-ROW('[4]Provider Arm'!F$595),FALSE)</f>
        <v>482372.82266000001</v>
      </c>
      <c r="H125" s="47">
        <f>-HLOOKUP($A125,'[4]Provider Arm'!$C$676:$AE$706,ROW('[4]Provider Arm'!$A$698)-ROW('[4]Provider Arm'!G$675),FALSE)</f>
        <v>499553.93700000009</v>
      </c>
      <c r="I125" s="47">
        <f>-HLOOKUP($A125,'[4]Provider Arm'!$C$757:$AF$787,ROW('[4]Provider Arm'!$A$779)-ROW('[4]Provider Arm'!H$756),FALSE)</f>
        <v>524768.93376999989</v>
      </c>
      <c r="J125" s="47">
        <f>-HLOOKUP($A125,'[4]Provider Arm'!$C$838:$AF$868,ROW('[4]Provider Arm'!$A$860)-ROW('[4]Provider Arm'!I$837),FALSE)</f>
        <v>544299.37202000024</v>
      </c>
      <c r="K125" s="47">
        <f>-HLOOKUP($A125,'[4]Provider Arm'!$C$919:$AF$949,ROW('[4]Provider Arm'!$A$941)-ROW('[4]Provider Arm'!$A$918),FALSE)</f>
        <v>552888.22832000011</v>
      </c>
      <c r="L125" s="47">
        <f>-HLOOKUP($A125,'[4]Provider Arm'!$C$1000:$AF$1030,ROW('[4]Provider Arm'!$A$1022)-ROW('[4]Provider Arm'!$A$999),FALSE)</f>
        <v>571864.95039999986</v>
      </c>
      <c r="M125" s="47">
        <f>-HLOOKUP($A125,'[4]Provider Arm'!$C$1081:$AF$1111,ROW('[4]Provider Arm'!$A$1103)-ROW('[4]Provider Arm'!$A$1080),FALSE)</f>
        <v>460354.93634999997</v>
      </c>
      <c r="P125" s="197"/>
      <c r="Q125" s="197"/>
      <c r="R125" s="197"/>
      <c r="S125" s="197"/>
      <c r="T125" s="197"/>
      <c r="U125" s="197"/>
      <c r="V125" s="197"/>
      <c r="W125" s="197"/>
      <c r="X125" s="197"/>
    </row>
    <row r="126" spans="1:24">
      <c r="A126" s="209" t="s">
        <v>235</v>
      </c>
      <c r="B126" s="47">
        <f>-HLOOKUP($A126,'[4]Provider Arm'!$C$8:$Y$58,ROW('[4]Provider Arm'!$A$52)-ROW('[4]Provider Arm'!A$7),FALSE)</f>
        <v>122847.81899999999</v>
      </c>
      <c r="C126" s="47">
        <f>-HLOOKUP($A126,'[4]Provider Arm'!$C$140:$Y$190,ROW('[4]Provider Arm'!$A$184)-ROW('[4]Provider Arm'!B$139),FALSE)</f>
        <v>137902.60310000001</v>
      </c>
      <c r="D126" s="47"/>
      <c r="E126" s="47"/>
      <c r="F126" s="47"/>
      <c r="G126" s="47"/>
      <c r="H126" s="47"/>
      <c r="I126" s="47"/>
      <c r="J126" s="47"/>
      <c r="K126" s="47"/>
      <c r="L126" s="47"/>
      <c r="M126" s="47"/>
      <c r="P126" s="197"/>
      <c r="Q126" s="197"/>
      <c r="R126" s="197"/>
      <c r="S126" s="197"/>
      <c r="T126" s="197"/>
      <c r="U126" s="197"/>
      <c r="V126" s="197"/>
      <c r="W126" s="197"/>
      <c r="X126" s="197"/>
    </row>
    <row r="127" spans="1:24">
      <c r="A127" s="209" t="s">
        <v>236</v>
      </c>
      <c r="B127" s="47">
        <f>-HLOOKUP($A127,'[4]Provider Arm'!$C$8:$Y$58,ROW('[4]Provider Arm'!$A$52)-ROW('[4]Provider Arm'!A$7),FALSE)</f>
        <v>66352.238499999992</v>
      </c>
      <c r="C127" s="47">
        <f>-HLOOKUP($A127,'[4]Provider Arm'!$C$140:$Y$190,ROW('[4]Provider Arm'!$A$184)-ROW('[4]Provider Arm'!B$139),FALSE)</f>
        <v>77861.875</v>
      </c>
      <c r="D127" s="47">
        <f>-HLOOKUP($A127,'[4]Provider Arm'!$C$268:$Y$318,ROW('[4]Provider Arm'!$A$312)-ROW('[4]Provider Arm'!C$267),FALSE)</f>
        <v>82253.153000000006</v>
      </c>
      <c r="E127" s="47">
        <f>-HLOOKUP($A127,'[4]Provider Arm'!$C$394:$Y$444,ROW('[4]Provider Arm'!$A$438)-ROW('[4]Provider Arm'!D$393),FALSE)</f>
        <v>84966.288</v>
      </c>
      <c r="F127" s="47">
        <f>-HLOOKUP($A127,'[4]Provider Arm'!$C$516:$AE$546,ROW('[4]Provider Arm'!$A$538)-ROW('[4]Provider Arm'!E$515),FALSE)</f>
        <v>86552</v>
      </c>
      <c r="G127" s="47">
        <f>-HLOOKUP($A127,'[4]Provider Arm'!$C$596:$AE$626,ROW('[4]Provider Arm'!$A$618)-ROW('[4]Provider Arm'!F$595),FALSE)</f>
        <v>91157</v>
      </c>
      <c r="H127" s="47">
        <f>-HLOOKUP($A127,'[4]Provider Arm'!$C$676:$AE$706,ROW('[4]Provider Arm'!$A$698)-ROW('[4]Provider Arm'!G$675),FALSE)</f>
        <v>91659</v>
      </c>
      <c r="I127" s="47">
        <f>-HLOOKUP($A127,'[4]Provider Arm'!$C$757:$AF$787,ROW('[4]Provider Arm'!$A$779)-ROW('[4]Provider Arm'!H$756),FALSE)</f>
        <v>96156</v>
      </c>
      <c r="J127" s="47">
        <f>-HLOOKUP($A127,'[4]Provider Arm'!$C$838:$AF$868,ROW('[4]Provider Arm'!$A$860)-ROW('[4]Provider Arm'!I$837),FALSE)</f>
        <v>97883.525000000009</v>
      </c>
      <c r="K127" s="47">
        <f>-HLOOKUP($A127,'[4]Provider Arm'!$C$919:$AF$949,ROW('[4]Provider Arm'!$A$941)-ROW('[4]Provider Arm'!$A$918),FALSE)</f>
        <v>100138</v>
      </c>
      <c r="L127" s="47">
        <f>-HLOOKUP($A127,'[4]Provider Arm'!$C$1000:$AF$1030,ROW('[4]Provider Arm'!$A$1022)-ROW('[4]Provider Arm'!$A$999),FALSE)</f>
        <v>106681</v>
      </c>
      <c r="M127" s="47">
        <f>-HLOOKUP($A127,'[4]Provider Arm'!$C$1081:$AF$1111,ROW('[4]Provider Arm'!$A$1103)-ROW('[4]Provider Arm'!$A$1080),FALSE)</f>
        <v>85817</v>
      </c>
      <c r="P127" s="197"/>
      <c r="Q127" s="197"/>
      <c r="R127" s="197"/>
      <c r="S127" s="197"/>
      <c r="T127" s="197"/>
      <c r="U127" s="197"/>
      <c r="V127" s="197"/>
      <c r="W127" s="197"/>
      <c r="X127" s="197"/>
    </row>
    <row r="128" spans="1:24">
      <c r="A128" s="209" t="s">
        <v>237</v>
      </c>
      <c r="B128" s="47">
        <f>-HLOOKUP($A128,'[4]Provider Arm'!$C$8:$Y$58,ROW('[4]Provider Arm'!$A$52)-ROW('[4]Provider Arm'!A$7),FALSE)</f>
        <v>157351</v>
      </c>
      <c r="C128" s="47">
        <f>-HLOOKUP($A128,'[4]Provider Arm'!$C$140:$Y$190,ROW('[4]Provider Arm'!$A$184)-ROW('[4]Provider Arm'!B$139),FALSE)</f>
        <v>166629</v>
      </c>
      <c r="D128" s="47">
        <f>-HLOOKUP($A128,'[4]Provider Arm'!$C$268:$Y$318,ROW('[4]Provider Arm'!$A$312)-ROW('[4]Provider Arm'!C$267),FALSE)</f>
        <v>173026</v>
      </c>
      <c r="E128" s="47">
        <f>-HLOOKUP($A128,'[4]Provider Arm'!$C$394:$Y$444,ROW('[4]Provider Arm'!$A$438)-ROW('[4]Provider Arm'!D$393),FALSE)</f>
        <v>173354</v>
      </c>
      <c r="F128" s="47">
        <f>-HLOOKUP($A128,'[4]Provider Arm'!$C$516:$AE$546,ROW('[4]Provider Arm'!$A$538)-ROW('[4]Provider Arm'!E$515),FALSE)</f>
        <v>177116</v>
      </c>
      <c r="G128" s="47">
        <f>-HLOOKUP($A128,'[4]Provider Arm'!$C$596:$AE$626,ROW('[4]Provider Arm'!$A$618)-ROW('[4]Provider Arm'!F$595),FALSE)</f>
        <v>182257</v>
      </c>
      <c r="H128" s="47">
        <f>-HLOOKUP($A128,'[4]Provider Arm'!$C$676:$AE$706,ROW('[4]Provider Arm'!$A$698)-ROW('[4]Provider Arm'!G$675),FALSE)</f>
        <v>187803</v>
      </c>
      <c r="I128" s="47">
        <f>-HLOOKUP($A128,'[4]Provider Arm'!$C$757:$AF$787,ROW('[4]Provider Arm'!$A$779)-ROW('[4]Provider Arm'!H$756),FALSE)</f>
        <v>195725</v>
      </c>
      <c r="J128" s="47">
        <f>-HLOOKUP($A128,'[4]Provider Arm'!$C$838:$AF$868,ROW('[4]Provider Arm'!$A$860)-ROW('[4]Provider Arm'!I$837),FALSE)</f>
        <v>204061</v>
      </c>
      <c r="K128" s="47">
        <f>-HLOOKUP($A128,'[4]Provider Arm'!$C$919:$AF$949,ROW('[4]Provider Arm'!$A$941)-ROW('[4]Provider Arm'!$A$918),FALSE)</f>
        <v>211119</v>
      </c>
      <c r="L128" s="47">
        <f>-HLOOKUP($A128,'[4]Provider Arm'!$C$1000:$AF$1030,ROW('[4]Provider Arm'!$A$1022)-ROW('[4]Provider Arm'!$A$999),FALSE)</f>
        <v>224670</v>
      </c>
      <c r="M128" s="47">
        <f>-HLOOKUP($A128,'[4]Provider Arm'!$C$1081:$AF$1111,ROW('[4]Provider Arm'!$A$1103)-ROW('[4]Provider Arm'!$A$1080),FALSE)</f>
        <v>182299</v>
      </c>
      <c r="P128" s="197"/>
      <c r="Q128" s="197"/>
      <c r="R128" s="197"/>
      <c r="S128" s="197"/>
      <c r="T128" s="197"/>
      <c r="U128" s="197"/>
      <c r="V128" s="197"/>
      <c r="W128" s="197"/>
      <c r="X128" s="197"/>
    </row>
    <row r="129" spans="1:24">
      <c r="A129" s="209" t="s">
        <v>238</v>
      </c>
      <c r="B129" s="47">
        <f>-HLOOKUP($A129,'[4]Provider Arm'!$C$8:$Y$58,ROW('[4]Provider Arm'!$A$52)-ROW('[4]Provider Arm'!A$7),FALSE)</f>
        <v>550282.87699999998</v>
      </c>
      <c r="C129" s="47">
        <f>-HLOOKUP($A129,'[4]Provider Arm'!$C$140:$Y$190,ROW('[4]Provider Arm'!$A$184)-ROW('[4]Provider Arm'!B$139),FALSE)</f>
        <v>636785</v>
      </c>
      <c r="D129" s="47">
        <f>-HLOOKUP($A129,'[4]Provider Arm'!$C$268:$Y$318,ROW('[4]Provider Arm'!$A$312)-ROW('[4]Provider Arm'!C$267),FALSE)</f>
        <v>672144</v>
      </c>
      <c r="E129" s="47">
        <f>-HLOOKUP($A129,'[4]Provider Arm'!$C$394:$Y$444,ROW('[4]Provider Arm'!$A$438)-ROW('[4]Provider Arm'!D$393),FALSE)</f>
        <v>779337</v>
      </c>
      <c r="F129" s="47">
        <f>-HLOOKUP($A129,'[4]Provider Arm'!$C$516:$AE$546,ROW('[4]Provider Arm'!$A$538)-ROW('[4]Provider Arm'!E$515),FALSE)</f>
        <v>732930</v>
      </c>
      <c r="G129" s="47">
        <f>-HLOOKUP($A129,'[4]Provider Arm'!$C$596:$AE$626,ROW('[4]Provider Arm'!$A$618)-ROW('[4]Provider Arm'!F$595),FALSE)</f>
        <v>763358</v>
      </c>
      <c r="H129" s="47">
        <f>-HLOOKUP($A129,'[4]Provider Arm'!$C$676:$AE$706,ROW('[4]Provider Arm'!$A$698)-ROW('[4]Provider Arm'!G$675),FALSE)</f>
        <v>791776.3</v>
      </c>
      <c r="I129" s="47">
        <f>-HLOOKUP($A129,'[4]Provider Arm'!$C$757:$AF$787,ROW('[4]Provider Arm'!$A$779)-ROW('[4]Provider Arm'!H$756),FALSE)</f>
        <v>822230.55510999996</v>
      </c>
      <c r="J129" s="47">
        <f>-HLOOKUP($A129,'[4]Provider Arm'!$C$838:$AF$868,ROW('[4]Provider Arm'!$A$860)-ROW('[4]Provider Arm'!I$837),FALSE)</f>
        <v>837768.26191999984</v>
      </c>
      <c r="K129" s="47">
        <f>-HLOOKUP($A129,'[4]Provider Arm'!$C$919:$AF$949,ROW('[4]Provider Arm'!$A$941)-ROW('[4]Provider Arm'!$A$918),FALSE)</f>
        <v>888205.49239000049</v>
      </c>
      <c r="L129" s="47">
        <f>-HLOOKUP($A129,'[4]Provider Arm'!$C$1000:$AF$1030,ROW('[4]Provider Arm'!$A$1022)-ROW('[4]Provider Arm'!$A$999),FALSE)</f>
        <v>979739.54074999981</v>
      </c>
      <c r="M129" s="47">
        <f>-HLOOKUP($A129,'[4]Provider Arm'!$C$1081:$AF$1111,ROW('[4]Provider Arm'!$A$1103)-ROW('[4]Provider Arm'!$A$1080),FALSE)</f>
        <v>795444.42714000004</v>
      </c>
      <c r="P129" s="197"/>
      <c r="Q129" s="197"/>
      <c r="R129" s="197"/>
      <c r="S129" s="197"/>
      <c r="T129" s="197"/>
      <c r="U129" s="197"/>
      <c r="V129" s="197"/>
      <c r="W129" s="197"/>
      <c r="X129" s="197"/>
    </row>
    <row r="130" spans="1:24">
      <c r="A130" s="209" t="s">
        <v>239</v>
      </c>
      <c r="B130" s="47">
        <f>-HLOOKUP($A130,'[4]Provider Arm'!$C$8:$Y$58,ROW('[4]Provider Arm'!$A$52)-ROW('[4]Provider Arm'!A$7),FALSE)</f>
        <v>53130.5</v>
      </c>
      <c r="C130" s="47">
        <f>-HLOOKUP($A130,'[4]Provider Arm'!$C$140:$Y$190,ROW('[4]Provider Arm'!$A$184)-ROW('[4]Provider Arm'!B$139),FALSE)</f>
        <v>59417</v>
      </c>
      <c r="D130" s="47">
        <f>-HLOOKUP($A130,'[4]Provider Arm'!$C$268:$Y$318,ROW('[4]Provider Arm'!$A$312)-ROW('[4]Provider Arm'!C$267),FALSE)</f>
        <v>58028</v>
      </c>
      <c r="E130" s="47">
        <f>-HLOOKUP($A130,'[4]Provider Arm'!$C$394:$Y$444,ROW('[4]Provider Arm'!$A$438)-ROW('[4]Provider Arm'!D$393),FALSE)</f>
        <v>59609</v>
      </c>
      <c r="F130" s="47">
        <f>-HLOOKUP($A130,'[4]Provider Arm'!$C$516:$AE$546,ROW('[4]Provider Arm'!$A$538)-ROW('[4]Provider Arm'!E$515),FALSE)</f>
        <v>61577</v>
      </c>
      <c r="G130" s="47">
        <f>-HLOOKUP($A130,'[4]Provider Arm'!$C$596:$AE$626,ROW('[4]Provider Arm'!$A$618)-ROW('[4]Provider Arm'!F$595),FALSE)</f>
        <v>61044</v>
      </c>
      <c r="H130" s="47">
        <f>-HLOOKUP($A130,'[4]Provider Arm'!$C$676:$AE$706,ROW('[4]Provider Arm'!$A$698)-ROW('[4]Provider Arm'!G$675),FALSE)</f>
        <v>63091</v>
      </c>
      <c r="I130" s="47">
        <f>-HLOOKUP($A130,'[4]Provider Arm'!$C$757:$AF$787,ROW('[4]Provider Arm'!$A$779)-ROW('[4]Provider Arm'!H$756),FALSE)</f>
        <v>64759.000000000007</v>
      </c>
      <c r="J130" s="47">
        <f>-HLOOKUP($A130,'[4]Provider Arm'!$C$838:$AF$868,ROW('[4]Provider Arm'!$A$860)-ROW('[4]Provider Arm'!I$837),FALSE)</f>
        <v>68926.120229999971</v>
      </c>
      <c r="K130" s="47">
        <f>-HLOOKUP($A130,'[4]Provider Arm'!$C$919:$AF$949,ROW('[4]Provider Arm'!$A$941)-ROW('[4]Provider Arm'!$A$918),FALSE)</f>
        <v>69606.22471000001</v>
      </c>
      <c r="L130" s="47">
        <f>-HLOOKUP($A130,'[4]Provider Arm'!$C$1000:$AF$1030,ROW('[4]Provider Arm'!$A$1022)-ROW('[4]Provider Arm'!$A$999),FALSE)</f>
        <v>75506.783190000002</v>
      </c>
      <c r="M130" s="47">
        <f>-HLOOKUP($A130,'[4]Provider Arm'!$C$1081:$AF$1111,ROW('[4]Provider Arm'!$A$1103)-ROW('[4]Provider Arm'!$A$1080),FALSE)</f>
        <v>58753.333279999999</v>
      </c>
      <c r="P130" s="197"/>
      <c r="Q130" s="197"/>
      <c r="R130" s="197"/>
      <c r="S130" s="197"/>
      <c r="T130" s="197"/>
      <c r="U130" s="197"/>
      <c r="V130" s="197"/>
      <c r="W130" s="197"/>
      <c r="X130" s="197"/>
    </row>
    <row r="131" spans="1:24">
      <c r="A131" s="209" t="s">
        <v>240</v>
      </c>
      <c r="B131" s="47">
        <f>-HLOOKUP($A131,'[4]Provider Arm'!$C$8:$Y$58,ROW('[4]Provider Arm'!$A$52)-ROW('[4]Provider Arm'!A$7),FALSE)</f>
        <v>564833</v>
      </c>
      <c r="C131" s="47">
        <f>-HLOOKUP($A131,'[4]Provider Arm'!$C$140:$Y$190,ROW('[4]Provider Arm'!$A$184)-ROW('[4]Provider Arm'!B$139),FALSE)</f>
        <v>627758</v>
      </c>
      <c r="D131" s="47">
        <f>-HLOOKUP($A131,'[4]Provider Arm'!$C$268:$Y$318,ROW('[4]Provider Arm'!$A$312)-ROW('[4]Provider Arm'!C$267),FALSE)</f>
        <v>647493</v>
      </c>
      <c r="E131" s="47">
        <f>-HLOOKUP($A131,'[4]Provider Arm'!$C$394:$Y$444,ROW('[4]Provider Arm'!$A$438)-ROW('[4]Provider Arm'!D$393),FALSE)</f>
        <v>658121</v>
      </c>
      <c r="F131" s="47">
        <f>-HLOOKUP($A131,'[4]Provider Arm'!$C$516:$AE$546,ROW('[4]Provider Arm'!$A$538)-ROW('[4]Provider Arm'!E$515),FALSE)</f>
        <v>705311</v>
      </c>
      <c r="G131" s="47">
        <f>-HLOOKUP($A131,'[4]Provider Arm'!$C$596:$AE$626,ROW('[4]Provider Arm'!$A$618)-ROW('[4]Provider Arm'!F$595),FALSE)</f>
        <v>734821</v>
      </c>
      <c r="H131" s="47">
        <f>-HLOOKUP($A131,'[4]Provider Arm'!$C$676:$AE$706,ROW('[4]Provider Arm'!$A$698)-ROW('[4]Provider Arm'!G$675),FALSE)</f>
        <v>777204</v>
      </c>
      <c r="I131" s="47">
        <f>-HLOOKUP($A131,'[4]Provider Arm'!$C$757:$AF$787,ROW('[4]Provider Arm'!$A$779)-ROW('[4]Provider Arm'!H$756),FALSE)</f>
        <v>845170</v>
      </c>
      <c r="J131" s="47">
        <f>-HLOOKUP($A131,'[4]Provider Arm'!$C$838:$AF$868,ROW('[4]Provider Arm'!$A$860)-ROW('[4]Provider Arm'!I$837),FALSE)</f>
        <v>857041</v>
      </c>
      <c r="K131" s="47">
        <f>-HLOOKUP($A131,'[4]Provider Arm'!$C$919:$AF$949,ROW('[4]Provider Arm'!$A$941)-ROW('[4]Provider Arm'!$A$918),FALSE)</f>
        <v>884642</v>
      </c>
      <c r="L131" s="47">
        <f>-HLOOKUP($A131,'[4]Provider Arm'!$C$1000:$AF$1030,ROW('[4]Provider Arm'!$A$1022)-ROW('[4]Provider Arm'!$A$999),FALSE)</f>
        <v>948721</v>
      </c>
      <c r="M131" s="47">
        <f>-HLOOKUP($A131,'[4]Provider Arm'!$C$1081:$AF$1111,ROW('[4]Provider Arm'!$A$1103)-ROW('[4]Provider Arm'!$A$1080),FALSE)</f>
        <v>733723</v>
      </c>
      <c r="P131" s="197"/>
      <c r="Q131" s="197"/>
      <c r="R131" s="197"/>
      <c r="S131" s="197"/>
      <c r="T131" s="197"/>
      <c r="U131" s="197"/>
      <c r="V131" s="197"/>
      <c r="W131" s="197"/>
      <c r="X131" s="197"/>
    </row>
    <row r="132" spans="1:24">
      <c r="A132" s="209" t="s">
        <v>241</v>
      </c>
      <c r="B132" s="47">
        <f>-HLOOKUP($A132,'[4]Provider Arm'!$C$8:$Y$58,ROW('[4]Provider Arm'!$A$52)-ROW('[4]Provider Arm'!A$7),FALSE)</f>
        <v>78133</v>
      </c>
      <c r="C132" s="47">
        <f>-HLOOKUP($A132,'[4]Provider Arm'!$C$140:$Y$190,ROW('[4]Provider Arm'!$A$184)-ROW('[4]Provider Arm'!B$139),FALSE)</f>
        <v>84116</v>
      </c>
      <c r="D132" s="47">
        <f>-HLOOKUP($A132,'[4]Provider Arm'!$C$268:$Y$318,ROW('[4]Provider Arm'!$A$312)-ROW('[4]Provider Arm'!C$267),FALSE)</f>
        <v>88347.168000000005</v>
      </c>
      <c r="E132" s="47">
        <f>-HLOOKUP($A132,'[4]Provider Arm'!$C$394:$Y$444,ROW('[4]Provider Arm'!$A$438)-ROW('[4]Provider Arm'!D$393),FALSE)</f>
        <v>90229</v>
      </c>
      <c r="F132" s="47">
        <f>-HLOOKUP($A132,'[4]Provider Arm'!$C$516:$AE$546,ROW('[4]Provider Arm'!$A$538)-ROW('[4]Provider Arm'!E$515),FALSE)</f>
        <v>91210</v>
      </c>
      <c r="G132" s="47">
        <f>-HLOOKUP($A132,'[4]Provider Arm'!$C$596:$AE$626,ROW('[4]Provider Arm'!$A$618)-ROW('[4]Provider Arm'!F$595),FALSE)</f>
        <v>91705.146000000022</v>
      </c>
      <c r="H132" s="47">
        <f>-HLOOKUP($A132,'[4]Provider Arm'!$C$676:$AE$706,ROW('[4]Provider Arm'!$A$698)-ROW('[4]Provider Arm'!G$675),FALSE)</f>
        <v>88544</v>
      </c>
      <c r="I132" s="47">
        <f>-HLOOKUP($A132,'[4]Provider Arm'!$C$757:$AF$787,ROW('[4]Provider Arm'!$A$779)-ROW('[4]Provider Arm'!H$756),FALSE)</f>
        <v>90037</v>
      </c>
      <c r="J132" s="47">
        <f>-HLOOKUP($A132,'[4]Provider Arm'!$C$838:$AF$868,ROW('[4]Provider Arm'!$A$860)-ROW('[4]Provider Arm'!I$837),FALSE)</f>
        <v>88637</v>
      </c>
      <c r="K132" s="47">
        <f>-HLOOKUP($A132,'[4]Provider Arm'!$C$919:$AF$949,ROW('[4]Provider Arm'!$A$941)-ROW('[4]Provider Arm'!$A$918),FALSE)</f>
        <v>89641.367069999993</v>
      </c>
      <c r="L132" s="47">
        <f>-HLOOKUP($A132,'[4]Provider Arm'!$C$1000:$AF$1030,ROW('[4]Provider Arm'!$A$1022)-ROW('[4]Provider Arm'!$A$999),FALSE)</f>
        <v>92605.857000000018</v>
      </c>
      <c r="M132" s="47">
        <f>-HLOOKUP($A132,'[4]Provider Arm'!$C$1081:$AF$1111,ROW('[4]Provider Arm'!$A$1103)-ROW('[4]Provider Arm'!$A$1080),FALSE)</f>
        <v>69971</v>
      </c>
      <c r="P132" s="197"/>
      <c r="Q132" s="197"/>
      <c r="R132" s="197"/>
      <c r="S132" s="197"/>
      <c r="T132" s="197"/>
      <c r="U132" s="197"/>
      <c r="V132" s="197"/>
      <c r="W132" s="197"/>
      <c r="X132" s="197"/>
    </row>
    <row r="133" spans="1:24">
      <c r="A133" s="210" t="s">
        <v>242</v>
      </c>
      <c r="B133" s="217">
        <f>-HLOOKUP($A133,'[4]Provider Arm'!$C$8:$Y$58,ROW('[4]Provider Arm'!$A$52)-ROW('[4]Provider Arm'!A$7),FALSE)</f>
        <v>99825</v>
      </c>
      <c r="C133" s="217">
        <f>-HLOOKUP($A133,'[4]Provider Arm'!$C$140:$Y$190,ROW('[4]Provider Arm'!$A$184)-ROW('[4]Provider Arm'!B$139),FALSE)</f>
        <v>108526</v>
      </c>
      <c r="D133" s="217">
        <f>-HLOOKUP($A133,'[4]Provider Arm'!$C$268:$Y$318,ROW('[4]Provider Arm'!$A$312)-ROW('[4]Provider Arm'!C$267),FALSE)</f>
        <v>109571</v>
      </c>
      <c r="E133" s="217">
        <f>-HLOOKUP($A133,'[4]Provider Arm'!$C$394:$Y$444,ROW('[4]Provider Arm'!$A$438)-ROW('[4]Provider Arm'!D$393),FALSE)</f>
        <v>111180</v>
      </c>
      <c r="F133" s="217">
        <f>-HLOOKUP($A133,'[4]Provider Arm'!$C$516:$AE$546,ROW('[4]Provider Arm'!$A$538)-ROW('[4]Provider Arm'!E$515),FALSE)</f>
        <v>113829</v>
      </c>
      <c r="G133" s="217">
        <f>-HLOOKUP($A133,'[4]Provider Arm'!$C$596:$AE$626,ROW('[4]Provider Arm'!$A$618)-ROW('[4]Provider Arm'!F$595),FALSE)</f>
        <v>116088</v>
      </c>
      <c r="H133" s="217">
        <f>-HLOOKUP($A133,'[4]Provider Arm'!$C$676:$AE$706,ROW('[4]Provider Arm'!$A$698)-ROW('[4]Provider Arm'!G$675),FALSE)</f>
        <v>118067</v>
      </c>
      <c r="I133" s="217">
        <f>-HLOOKUP($A133,'[4]Provider Arm'!$C$757:$AF$787,ROW('[4]Provider Arm'!$A$779)-ROW('[4]Provider Arm'!H$756),FALSE)</f>
        <v>119201</v>
      </c>
      <c r="J133" s="217">
        <f>-HLOOKUP($A133,'[4]Provider Arm'!$C$838:$AF$868,ROW('[4]Provider Arm'!$A$860)-ROW('[4]Provider Arm'!I$837),FALSE)</f>
        <v>121218</v>
      </c>
      <c r="K133" s="217">
        <f>-HLOOKUP($A133,'[4]Provider Arm'!$C$919:$AF$949,ROW('[4]Provider Arm'!$A$941)-ROW('[4]Provider Arm'!$A$918),FALSE)</f>
        <v>123929</v>
      </c>
      <c r="L133" s="217">
        <f>-HLOOKUP($A133,'[4]Provider Arm'!$C$1000:$AF$1030,ROW('[4]Provider Arm'!$A$1022)-ROW('[4]Provider Arm'!$A$999),FALSE)</f>
        <v>133118</v>
      </c>
      <c r="M133" s="217">
        <f>-HLOOKUP($A133,'[4]Provider Arm'!$C$1081:$AF$1111,ROW('[4]Provider Arm'!$A$1103)-ROW('[4]Provider Arm'!$A$1080),FALSE)</f>
        <v>105974</v>
      </c>
      <c r="P133" s="197"/>
      <c r="Q133" s="197"/>
      <c r="R133" s="197"/>
      <c r="S133" s="197"/>
      <c r="T133" s="197"/>
      <c r="U133" s="197"/>
      <c r="V133" s="197"/>
      <c r="W133" s="197"/>
      <c r="X133" s="197"/>
    </row>
    <row r="134" spans="1:24">
      <c r="A134" s="213" t="s">
        <v>243</v>
      </c>
      <c r="B134" s="47">
        <f>-HLOOKUP($A134,'[4]Provider Arm'!$C$8:$Y$58,ROW('[4]Provider Arm'!$A$52)-ROW('[4]Provider Arm'!A$7),FALSE)</f>
        <v>6269136.608500001</v>
      </c>
      <c r="C134" s="47">
        <f>-HLOOKUP($A134,'[4]Provider Arm'!$C$140:$Y$190,ROW('[4]Provider Arm'!$A$184)-ROW('[4]Provider Arm'!B$139),FALSE)</f>
        <v>6866765.3236000007</v>
      </c>
      <c r="D134" s="47">
        <f>-HLOOKUP($A134,'[4]Provider Arm'!$C$268:$Y$318,ROW('[4]Provider Arm'!$A$312)-ROW('[4]Provider Arm'!C$267),FALSE)</f>
        <v>7207422.9188000001</v>
      </c>
      <c r="E134" s="47">
        <f>-HLOOKUP($A134,'[4]Provider Arm'!$C$394:$Y$444,ROW('[4]Provider Arm'!$A$438)-ROW('[4]Provider Arm'!D$393),FALSE)</f>
        <v>7583888.5742999995</v>
      </c>
      <c r="F134" s="47">
        <f>-HLOOKUP($A134,'[4]Provider Arm'!$C$516:$AE$546,ROW('[4]Provider Arm'!$A$538)-ROW('[4]Provider Arm'!E$515),FALSE)</f>
        <v>7789737.4650299996</v>
      </c>
      <c r="G134" s="47">
        <f>-HLOOKUP($A134,'[4]Provider Arm'!$C$596:$AE$626,ROW('[4]Provider Arm'!$A$618)-ROW('[4]Provider Arm'!F$595),FALSE)</f>
        <v>8015776.6672800006</v>
      </c>
      <c r="H134" s="47">
        <f>-HLOOKUP($A134,'[4]Provider Arm'!$C$676:$AE$706,ROW('[4]Provider Arm'!$A$698)-ROW('[4]Provider Arm'!G$675),FALSE)</f>
        <v>8302027.2793990001</v>
      </c>
      <c r="I134" s="47">
        <f>-HLOOKUP($A134,'[4]Provider Arm'!$C$757:$AF$787,ROW('[4]Provider Arm'!$A$779)-ROW('[4]Provider Arm'!H$756),FALSE)</f>
        <v>8656024.94943</v>
      </c>
      <c r="J134" s="47">
        <f>-HLOOKUP($A134,'[4]Provider Arm'!$C$838:$AF$868,ROW('[4]Provider Arm'!$A$860)-ROW('[4]Provider Arm'!I$837),FALSE)</f>
        <v>8906707.6705100015</v>
      </c>
      <c r="K134" s="47">
        <f>-HLOOKUP($A134,'[4]Provider Arm'!$C$919:$AF$949,ROW('[4]Provider Arm'!$A$941)-ROW('[4]Provider Arm'!$A$918),FALSE)</f>
        <v>9239999.8093937002</v>
      </c>
      <c r="L134" s="47">
        <f>-HLOOKUP($A134,'[4]Provider Arm'!$C$1000:$AF$1030,ROW('[4]Provider Arm'!$A$1022)-ROW('[4]Provider Arm'!$A$999),FALSE)</f>
        <v>9859800.6575599983</v>
      </c>
      <c r="M134" s="47">
        <f>-HLOOKUP($A134,'[4]Provider Arm'!$C$1081:$AF$1111,ROW('[4]Provider Arm'!$A$1103)-ROW('[4]Provider Arm'!$A$1080),FALSE)</f>
        <v>7808313.4679000005</v>
      </c>
      <c r="P134" s="197"/>
      <c r="Q134" s="197"/>
      <c r="R134" s="197"/>
      <c r="S134" s="197"/>
      <c r="T134" s="197"/>
      <c r="U134" s="197"/>
      <c r="V134" s="197"/>
      <c r="W134" s="197"/>
      <c r="X134" s="197"/>
    </row>
    <row r="135" spans="1:24">
      <c r="N135" s="220"/>
      <c r="O135" s="220"/>
    </row>
    <row r="136" spans="1:24">
      <c r="A136" s="204" t="s">
        <v>258</v>
      </c>
      <c r="K136" s="9"/>
      <c r="L136" s="9"/>
      <c r="M136" s="9"/>
    </row>
    <row r="137" spans="1:24">
      <c r="A137" s="209" t="s">
        <v>221</v>
      </c>
      <c r="B137" s="47">
        <f>VLOOKUP($A137,'[4]YTD FTE'!$A$9:$X$32,COLUMN('[4]YTD FTE'!$V$7),FALSE)</f>
        <v>7423.1383000000005</v>
      </c>
      <c r="C137" s="47">
        <f>VLOOKUP($A137,'[4]YTD FTE'!$A$50:$X$76,COLUMN('[4]YTD FTE'!$V$7),FALSE)</f>
        <v>7669.2316999999994</v>
      </c>
      <c r="D137" s="47">
        <f>VLOOKUP($A137,'[4]YTD FTE'!$A$96:$X$118,COLUMN('[4]YTD FTE'!$V$7),FALSE)</f>
        <v>7810.8108000000002</v>
      </c>
      <c r="E137" s="57">
        <f>VLOOKUP($A137,'[4]YTD FTE'!$A$136:$X$158,COLUMN('[4]YTD FTE'!$V$7),FALSE)</f>
        <v>7926.2382999999991</v>
      </c>
      <c r="F137" s="57">
        <f>VLOOKUP($A137,'[4]YTD FTE'!$A$179:$X$207,COLUMN('[4]YTD FTE'!$V$7),FALSE)</f>
        <v>7859.1108333333332</v>
      </c>
      <c r="G137" s="57">
        <f>VLOOKUP($A137,'[4]YTD FTE'!$A$226:$X$254,COLUMN('[4]YTD FTE'!$V$7),FALSE)</f>
        <v>7876.9158333333326</v>
      </c>
      <c r="H137" s="57">
        <f>VLOOKUP($A137,'[4]YTD FTE'!$A$272:$X$300,COLUMN('[4]YTD FTE'!$V$7),FALSE)</f>
        <v>8066.916666666667</v>
      </c>
      <c r="I137" s="57">
        <f>VLOOKUP($A137,'[4]YTD FTE'!$A$318:$X$346,COLUMN('[4]YTD FTE'!$V$7),FALSE)</f>
        <v>8282.7291026615003</v>
      </c>
      <c r="J137" s="57">
        <f>VLOOKUP($A137,'[4]YTD FTE'!$A$365:$X$393,COLUMN('[4]YTD FTE'!$V$7),FALSE)</f>
        <v>8379.6983333333319</v>
      </c>
      <c r="K137" s="57">
        <f>VLOOKUP($A137,'[4]YTD FTE'!$A$412:$X$439,COLUMN('[4]YTD FTE'!$V$410),FALSE)</f>
        <v>8733.5570333333326</v>
      </c>
      <c r="L137" s="57">
        <f>VLOOKUP($A137,'[4]YTD FTE'!$A$457:$X$487,COLUMN('[4]YTD FTE'!$V$456),FALSE)</f>
        <v>9005.6988333333338</v>
      </c>
      <c r="M137" s="57">
        <f>VLOOKUP($A137,'[4]YTD FTE'!$A$504:$X$534,COLUMN('[4]YTD FTE'!$V$504),FALSE)</f>
        <v>9456.8325555555566</v>
      </c>
    </row>
    <row r="138" spans="1:24">
      <c r="A138" s="209" t="s">
        <v>222</v>
      </c>
      <c r="B138" s="47">
        <f>VLOOKUP($A138,'[4]YTD FTE'!$A$9:$X$32,COLUMN('[4]YTD FTE'!$V$7),FALSE)</f>
        <v>2206.5</v>
      </c>
      <c r="C138" s="47">
        <f>VLOOKUP($A138,'[4]YTD FTE'!$A$50:$X$76,COLUMN('[4]YTD FTE'!$V$7),FALSE)</f>
        <v>2296.9166</v>
      </c>
      <c r="D138" s="47">
        <f>VLOOKUP($A138,'[4]YTD FTE'!$A$96:$X$118,COLUMN('[4]YTD FTE'!$V$7),FALSE)</f>
        <v>2405.8334</v>
      </c>
      <c r="E138" s="47">
        <f>VLOOKUP($A138,'[4]YTD FTE'!$A$136:$X$158,COLUMN('[4]YTD FTE'!$V$7),FALSE)</f>
        <v>2313.5</v>
      </c>
      <c r="F138" s="47">
        <f>VLOOKUP($A138,'[4]YTD FTE'!$A$179:$X$207,COLUMN('[4]YTD FTE'!$V$7),FALSE)</f>
        <v>2393.75</v>
      </c>
      <c r="G138" s="47">
        <f>VLOOKUP($A138,'[4]YTD FTE'!$A$226:$X$254,COLUMN('[4]YTD FTE'!$V$7),FALSE)</f>
        <v>2390.75</v>
      </c>
      <c r="H138" s="47">
        <f>VLOOKUP($A138,'[4]YTD FTE'!$A$272:$X$300,COLUMN('[4]YTD FTE'!$V$7),FALSE)</f>
        <v>2442.5833333333335</v>
      </c>
      <c r="I138" s="47">
        <f>VLOOKUP($A138,'[4]YTD FTE'!$A$318:$X$346,COLUMN('[4]YTD FTE'!$V$7),FALSE)</f>
        <v>2531.25</v>
      </c>
      <c r="J138" s="47">
        <f>VLOOKUP($A138,'[4]YTD FTE'!$A$365:$X$393,COLUMN('[4]YTD FTE'!$V$7),FALSE)</f>
        <v>2562.3333333333335</v>
      </c>
      <c r="K138" s="57">
        <f>VLOOKUP($A138,'[4]YTD FTE'!$A$412:$X$439,COLUMN('[4]YTD FTE'!$V$410),FALSE)</f>
        <v>2625.729166666667</v>
      </c>
      <c r="L138" s="57">
        <f>VLOOKUP($A138,'[4]YTD FTE'!$A$457:$X$487,COLUMN('[4]YTD FTE'!$V$456),FALSE)</f>
        <v>2718.044166666667</v>
      </c>
      <c r="M138" s="57">
        <f>VLOOKUP($A138,'[4]YTD FTE'!$A$504:$X$534,COLUMN('[4]YTD FTE'!$V$504),FALSE)</f>
        <v>2762.8855555555556</v>
      </c>
    </row>
    <row r="139" spans="1:24">
      <c r="A139" s="209" t="s">
        <v>223</v>
      </c>
      <c r="B139" s="47">
        <f>VLOOKUP($A139,'[4]YTD FTE'!$A$9:$X$32,COLUMN('[4]YTD FTE'!$V$7),FALSE)</f>
        <v>6473.9632999999994</v>
      </c>
      <c r="C139" s="47">
        <f>VLOOKUP($A139,'[4]YTD FTE'!$A$50:$X$76,COLUMN('[4]YTD FTE'!$V$7),FALSE)</f>
        <v>6677.1650000000009</v>
      </c>
      <c r="D139" s="47">
        <f>VLOOKUP($A139,'[4]YTD FTE'!$A$96:$X$118,COLUMN('[4]YTD FTE'!$V$7),FALSE)</f>
        <v>6849.1424999999999</v>
      </c>
      <c r="E139" s="47">
        <f>VLOOKUP($A139,'[4]YTD FTE'!$A$136:$X$158,COLUMN('[4]YTD FTE'!$V$7),FALSE)</f>
        <v>6970.8525</v>
      </c>
      <c r="F139" s="47">
        <f>VLOOKUP($A139,'[4]YTD FTE'!$A$179:$X$207,COLUMN('[4]YTD FTE'!$V$7),FALSE)</f>
        <v>7013.9983333333339</v>
      </c>
      <c r="G139" s="47">
        <f>VLOOKUP($A139,'[4]YTD FTE'!$A$226:$X$254,COLUMN('[4]YTD FTE'!$V$7),FALSE)</f>
        <v>7333.0749999999998</v>
      </c>
      <c r="H139" s="47">
        <f>VLOOKUP($A139,'[4]YTD FTE'!$A$272:$X$300,COLUMN('[4]YTD FTE'!$V$7),FALSE)</f>
        <v>7526.5712388817492</v>
      </c>
      <c r="I139" s="47">
        <f>VLOOKUP($A139,'[4]YTD FTE'!$A$318:$X$346,COLUMN('[4]YTD FTE'!$V$7),FALSE)</f>
        <v>7605.3074881732509</v>
      </c>
      <c r="J139" s="47">
        <f>VLOOKUP($A139,'[4]YTD FTE'!$A$365:$X$393,COLUMN('[4]YTD FTE'!$V$7),FALSE)</f>
        <v>7736.9408777959989</v>
      </c>
      <c r="K139" s="57">
        <f>VLOOKUP($A139,'[4]YTD FTE'!$A$412:$X$439,COLUMN('[4]YTD FTE'!$V$410),FALSE)</f>
        <v>7842.9491666666663</v>
      </c>
      <c r="L139" s="57">
        <f>VLOOKUP($A139,'[4]YTD FTE'!$A$457:$X$487,COLUMN('[4]YTD FTE'!$V$456),FALSE)</f>
        <v>8243.0650000000005</v>
      </c>
      <c r="M139" s="57">
        <f>VLOOKUP($A139,'[4]YTD FTE'!$A$504:$X$534,COLUMN('[4]YTD FTE'!$V$504),FALSE)</f>
        <v>8526.8888888888887</v>
      </c>
    </row>
    <row r="140" spans="1:24">
      <c r="A140" s="209" t="s">
        <v>224</v>
      </c>
      <c r="B140" s="47">
        <f>VLOOKUP($A140,'[4]YTD FTE'!$A$9:$X$32,COLUMN('[4]YTD FTE'!$V$7),FALSE)</f>
        <v>3865.0561000000002</v>
      </c>
      <c r="C140" s="47">
        <f>VLOOKUP($A140,'[4]YTD FTE'!$A$50:$X$76,COLUMN('[4]YTD FTE'!$V$7),FALSE)</f>
        <v>4085.8794000000003</v>
      </c>
      <c r="D140" s="47">
        <f>VLOOKUP($A140,'[4]YTD FTE'!$A$96:$X$118,COLUMN('[4]YTD FTE'!$V$7),FALSE)</f>
        <v>4341.4840000000004</v>
      </c>
      <c r="E140" s="47">
        <f>VLOOKUP($A140,'[4]YTD FTE'!$A$136:$X$158,COLUMN('[4]YTD FTE'!$V$7),FALSE)</f>
        <v>4298.4308999999994</v>
      </c>
      <c r="F140" s="47">
        <f>VLOOKUP($A140,'[4]YTD FTE'!$A$179:$X$207,COLUMN('[4]YTD FTE'!$V$7),FALSE)</f>
        <v>4368.3447767170828</v>
      </c>
      <c r="G140" s="47">
        <f>VLOOKUP($A140,'[4]YTD FTE'!$A$226:$X$254,COLUMN('[4]YTD FTE'!$V$7),FALSE)</f>
        <v>4545.2733315486666</v>
      </c>
      <c r="H140" s="47">
        <f>VLOOKUP($A140,'[4]YTD FTE'!$A$272:$X$300,COLUMN('[4]YTD FTE'!$V$7),FALSE)</f>
        <v>4642.3015086295827</v>
      </c>
      <c r="I140" s="47">
        <f>VLOOKUP($A140,'[4]YTD FTE'!$A$318:$X$346,COLUMN('[4]YTD FTE'!$V$7),FALSE)</f>
        <v>4704.884789873583</v>
      </c>
      <c r="J140" s="47">
        <f>VLOOKUP($A140,'[4]YTD FTE'!$A$365:$X$393,COLUMN('[4]YTD FTE'!$V$7),FALSE)</f>
        <v>4790.4286999999995</v>
      </c>
      <c r="K140" s="57">
        <f>VLOOKUP($A140,'[4]YTD FTE'!$A$412:$X$439,COLUMN('[4]YTD FTE'!$V$410),FALSE)</f>
        <v>4802.5136083333337</v>
      </c>
      <c r="L140" s="57">
        <f>VLOOKUP($A140,'[4]YTD FTE'!$A$457:$X$487,COLUMN('[4]YTD FTE'!$V$456),FALSE)</f>
        <v>4964.0025083333339</v>
      </c>
      <c r="M140" s="57">
        <f>VLOOKUP($A140,'[4]YTD FTE'!$A$504:$X$534,COLUMN('[4]YTD FTE'!$V$504),FALSE)</f>
        <v>5135.0665111111111</v>
      </c>
    </row>
    <row r="141" spans="1:24">
      <c r="A141" s="209" t="s">
        <v>225</v>
      </c>
      <c r="B141" s="47">
        <f>VLOOKUP($A141,'[4]YTD FTE'!$A$9:$X$32,COLUMN('[4]YTD FTE'!$V$7),FALSE)</f>
        <v>4385.5933999999997</v>
      </c>
      <c r="C141" s="47">
        <f>VLOOKUP($A141,'[4]YTD FTE'!$A$50:$X$76,COLUMN('[4]YTD FTE'!$V$7),FALSE)</f>
        <v>4849.25</v>
      </c>
      <c r="D141" s="47">
        <f>VLOOKUP($A141,'[4]YTD FTE'!$A$96:$X$118,COLUMN('[4]YTD FTE'!$V$7),FALSE)</f>
        <v>5288.75</v>
      </c>
      <c r="E141" s="47">
        <f>VLOOKUP($A141,'[4]YTD FTE'!$A$136:$X$158,COLUMN('[4]YTD FTE'!$V$7),FALSE)</f>
        <v>5414.75</v>
      </c>
      <c r="F141" s="47">
        <f>VLOOKUP($A141,'[4]YTD FTE'!$A$179:$X$207,COLUMN('[4]YTD FTE'!$V$7),FALSE)</f>
        <v>5641.833333333333</v>
      </c>
      <c r="G141" s="47">
        <f>VLOOKUP($A141,'[4]YTD FTE'!$A$226:$X$254,COLUMN('[4]YTD FTE'!$V$7),FALSE)</f>
        <v>5923.333333333333</v>
      </c>
      <c r="H141" s="47">
        <f>VLOOKUP($A141,'[4]YTD FTE'!$A$272:$X$300,COLUMN('[4]YTD FTE'!$V$7),FALSE)</f>
        <v>5959.3</v>
      </c>
      <c r="I141" s="47">
        <f>VLOOKUP($A141,'[4]YTD FTE'!$A$318:$X$346,COLUMN('[4]YTD FTE'!$V$7),FALSE)</f>
        <v>6026.75</v>
      </c>
      <c r="J141" s="47">
        <f>VLOOKUP($A141,'[4]YTD FTE'!$A$365:$X$393,COLUMN('[4]YTD FTE'!$V$7),FALSE)</f>
        <v>6119.416666666667</v>
      </c>
      <c r="K141" s="57">
        <f>VLOOKUP($A141,'[4]YTD FTE'!$A$412:$X$439,COLUMN('[4]YTD FTE'!$V$410),FALSE)</f>
        <v>6260.416666666667</v>
      </c>
      <c r="L141" s="57">
        <f>VLOOKUP($A141,'[4]YTD FTE'!$A$457:$X$487,COLUMN('[4]YTD FTE'!$V$456),FALSE)</f>
        <v>6546.25</v>
      </c>
      <c r="M141" s="57">
        <f>VLOOKUP($A141,'[4]YTD FTE'!$A$504:$X$534,COLUMN('[4]YTD FTE'!$V$504),FALSE)</f>
        <v>6622.1111111111113</v>
      </c>
    </row>
    <row r="142" spans="1:24">
      <c r="A142" s="209" t="s">
        <v>226</v>
      </c>
      <c r="B142" s="47">
        <f>VLOOKUP($A142,'[4]YTD FTE'!$A$9:$X$32,COLUMN('[4]YTD FTE'!$V$7),FALSE)</f>
        <v>1927.1415999999999</v>
      </c>
      <c r="C142" s="47">
        <f>VLOOKUP($A142,'[4]YTD FTE'!$A$50:$X$76,COLUMN('[4]YTD FTE'!$V$7),FALSE)</f>
        <v>2034.8432999999998</v>
      </c>
      <c r="D142" s="47">
        <f>VLOOKUP($A142,'[4]YTD FTE'!$A$96:$X$118,COLUMN('[4]YTD FTE'!$V$7),FALSE)</f>
        <v>2048.8308999999999</v>
      </c>
      <c r="E142" s="47">
        <f>VLOOKUP($A142,'[4]YTD FTE'!$A$136:$X$158,COLUMN('[4]YTD FTE'!$V$7),FALSE)</f>
        <v>2001.8066000000001</v>
      </c>
      <c r="F142" s="47">
        <f>VLOOKUP($A142,'[4]YTD FTE'!$A$179:$X$207,COLUMN('[4]YTD FTE'!$V$7),FALSE)</f>
        <v>2033.9416666666666</v>
      </c>
      <c r="G142" s="47">
        <f>VLOOKUP($A142,'[4]YTD FTE'!$A$226:$X$254,COLUMN('[4]YTD FTE'!$V$7),FALSE)</f>
        <v>2030.698333333333</v>
      </c>
      <c r="H142" s="47">
        <f>VLOOKUP($A142,'[4]YTD FTE'!$A$272:$X$300,COLUMN('[4]YTD FTE'!$V$7),FALSE)</f>
        <v>2072.0549999999998</v>
      </c>
      <c r="I142" s="47">
        <f>VLOOKUP($A142,'[4]YTD FTE'!$A$318:$X$346,COLUMN('[4]YTD FTE'!$V$7),FALSE)</f>
        <v>2131.6150000000002</v>
      </c>
      <c r="J142" s="47">
        <f>VLOOKUP($A142,'[4]YTD FTE'!$A$365:$X$393,COLUMN('[4]YTD FTE'!$V$7),FALSE)</f>
        <v>2163.7891666666669</v>
      </c>
      <c r="K142" s="57">
        <f>VLOOKUP($A142,'[4]YTD FTE'!$A$412:$X$439,COLUMN('[4]YTD FTE'!$V$410),FALSE)</f>
        <v>2233.163</v>
      </c>
      <c r="L142" s="57">
        <f>VLOOKUP($A142,'[4]YTD FTE'!$A$457:$X$487,COLUMN('[4]YTD FTE'!$V$456),FALSE)</f>
        <v>2349.0391666666665</v>
      </c>
      <c r="M142" s="57">
        <f>VLOOKUP($A142,'[4]YTD FTE'!$A$504:$X$534,COLUMN('[4]YTD FTE'!$V$504),FALSE)</f>
        <v>2415.2022222222226</v>
      </c>
    </row>
    <row r="143" spans="1:24">
      <c r="A143" s="209" t="s">
        <v>227</v>
      </c>
      <c r="B143" s="47">
        <f>VLOOKUP($A143,'[4]YTD FTE'!$A$9:$X$32,COLUMN('[4]YTD FTE'!$V$7),FALSE)</f>
        <v>1681.8333</v>
      </c>
      <c r="C143" s="47">
        <f>VLOOKUP($A143,'[4]YTD FTE'!$A$50:$X$76,COLUMN('[4]YTD FTE'!$V$7),FALSE)</f>
        <v>1787.7658000000001</v>
      </c>
      <c r="D143" s="47">
        <f>VLOOKUP($A143,'[4]YTD FTE'!$A$96:$X$118,COLUMN('[4]YTD FTE'!$V$7),FALSE)</f>
        <v>1773.2583</v>
      </c>
      <c r="E143" s="47">
        <f>VLOOKUP($A143,'[4]YTD FTE'!$A$136:$X$158,COLUMN('[4]YTD FTE'!$V$7),FALSE)</f>
        <v>1808.7324999999998</v>
      </c>
      <c r="F143" s="47">
        <f>VLOOKUP($A143,'[4]YTD FTE'!$A$179:$X$207,COLUMN('[4]YTD FTE'!$V$7),FALSE)</f>
        <v>1851.5174999999999</v>
      </c>
      <c r="G143" s="47">
        <f>VLOOKUP($A143,'[4]YTD FTE'!$A$226:$X$254,COLUMN('[4]YTD FTE'!$V$7),FALSE)</f>
        <v>1840.0358333333334</v>
      </c>
      <c r="H143" s="47">
        <f>VLOOKUP($A143,'[4]YTD FTE'!$A$272:$X$300,COLUMN('[4]YTD FTE'!$V$7),FALSE)</f>
        <v>1811.4216666666664</v>
      </c>
      <c r="I143" s="47">
        <f>VLOOKUP($A143,'[4]YTD FTE'!$A$318:$X$346,COLUMN('[4]YTD FTE'!$V$7),FALSE)</f>
        <v>1882.7583333333332</v>
      </c>
      <c r="J143" s="47">
        <f>VLOOKUP($A143,'[4]YTD FTE'!$A$365:$X$393,COLUMN('[4]YTD FTE'!$V$7),FALSE)</f>
        <v>1848.6933333333338</v>
      </c>
      <c r="K143" s="57">
        <f>VLOOKUP($A143,'[4]YTD FTE'!$A$412:$X$439,COLUMN('[4]YTD FTE'!$V$410),FALSE)</f>
        <v>1829.9408333333333</v>
      </c>
      <c r="L143" s="57">
        <f>VLOOKUP($A143,'[4]YTD FTE'!$A$457:$X$487,COLUMN('[4]YTD FTE'!$V$456),FALSE)</f>
        <v>1872.4360377038331</v>
      </c>
      <c r="M143" s="57">
        <f>VLOOKUP($A143,'[4]YTD FTE'!$A$504:$X$534,COLUMN('[4]YTD FTE'!$V$504),FALSE)</f>
        <v>1922.1357840868889</v>
      </c>
    </row>
    <row r="144" spans="1:24">
      <c r="A144" s="209" t="s">
        <v>228</v>
      </c>
      <c r="B144" s="47">
        <f>VLOOKUP($A144,'[4]YTD FTE'!$A$9:$X$32,COLUMN('[4]YTD FTE'!$V$7),FALSE)</f>
        <v>1023.5833</v>
      </c>
      <c r="C144" s="47">
        <f>VLOOKUP($A144,'[4]YTD FTE'!$A$50:$X$76,COLUMN('[4]YTD FTE'!$V$7),FALSE)</f>
        <v>1057.7308</v>
      </c>
      <c r="D144" s="47">
        <f>VLOOKUP($A144,'[4]YTD FTE'!$A$96:$X$118,COLUMN('[4]YTD FTE'!$V$7),FALSE)</f>
        <v>1086.5833</v>
      </c>
      <c r="E144" s="47">
        <f>VLOOKUP($A144,'[4]YTD FTE'!$A$136:$X$158,COLUMN('[4]YTD FTE'!$V$7),FALSE)</f>
        <v>1107.0473</v>
      </c>
      <c r="F144" s="47">
        <f>VLOOKUP($A144,'[4]YTD FTE'!$A$179:$X$207,COLUMN('[4]YTD FTE'!$V$7),FALSE)</f>
        <v>1108.7529155833333</v>
      </c>
      <c r="G144" s="47">
        <f>VLOOKUP($A144,'[4]YTD FTE'!$A$226:$X$254,COLUMN('[4]YTD FTE'!$V$7),FALSE)</f>
        <v>1089.5833333333333</v>
      </c>
      <c r="H144" s="47">
        <f>VLOOKUP($A144,'[4]YTD FTE'!$A$272:$X$300,COLUMN('[4]YTD FTE'!$V$7),FALSE)</f>
        <v>1119.0833333333333</v>
      </c>
      <c r="I144" s="47">
        <f>VLOOKUP($A144,'[4]YTD FTE'!$A$318:$X$346,COLUMN('[4]YTD FTE'!$V$7),FALSE)</f>
        <v>1155.5</v>
      </c>
      <c r="J144" s="47">
        <f>VLOOKUP($A144,'[4]YTD FTE'!$A$365:$X$393,COLUMN('[4]YTD FTE'!$V$7),FALSE)</f>
        <v>1180.75</v>
      </c>
      <c r="K144" s="57">
        <f>VLOOKUP($A144,'[4]YTD FTE'!$A$412:$X$439,COLUMN('[4]YTD FTE'!$V$410),FALSE)</f>
        <v>1213.8333333333333</v>
      </c>
      <c r="L144" s="57">
        <f>VLOOKUP($A144,'[4]YTD FTE'!$A$457:$X$487,COLUMN('[4]YTD FTE'!$V$456),FALSE)</f>
        <v>1268.6666666666667</v>
      </c>
      <c r="M144" s="57">
        <f>VLOOKUP($A144,'[4]YTD FTE'!$A$504:$X$534,COLUMN('[4]YTD FTE'!$V$504),FALSE)</f>
        <v>1310.7777777777778</v>
      </c>
    </row>
    <row r="145" spans="1:13">
      <c r="A145" s="209" t="s">
        <v>229</v>
      </c>
      <c r="B145" s="47">
        <f>VLOOKUP($A145,'[4]YTD FTE'!$A$9:$X$32,COLUMN('[4]YTD FTE'!$V$7),FALSE)</f>
        <v>2024.9083000000001</v>
      </c>
      <c r="C145" s="47">
        <f>VLOOKUP($A145,'[4]YTD FTE'!$A$50:$X$76,COLUMN('[4]YTD FTE'!$V$7),FALSE)</f>
        <v>2125.1557000000003</v>
      </c>
      <c r="D145" s="47">
        <f>VLOOKUP($A145,'[4]YTD FTE'!$A$96:$X$118,COLUMN('[4]YTD FTE'!$V$7),FALSE)</f>
        <v>2110.9108000000001</v>
      </c>
      <c r="E145" s="47">
        <f>VLOOKUP($A145,'[4]YTD FTE'!$A$136:$X$158,COLUMN('[4]YTD FTE'!$V$7),FALSE)</f>
        <v>2106.2133000000003</v>
      </c>
      <c r="F145" s="47">
        <f>VLOOKUP($A145,'[4]YTD FTE'!$A$179:$X$207,COLUMN('[4]YTD FTE'!$V$7),FALSE)</f>
        <v>2096.688333333333</v>
      </c>
      <c r="G145" s="47">
        <f>VLOOKUP($A145,'[4]YTD FTE'!$A$226:$X$254,COLUMN('[4]YTD FTE'!$V$7),FALSE)</f>
        <v>2153.4950000000003</v>
      </c>
      <c r="H145" s="47">
        <f>VLOOKUP($A145,'[4]YTD FTE'!$A$272:$X$300,COLUMN('[4]YTD FTE'!$V$7),FALSE)</f>
        <v>2185.9983333333334</v>
      </c>
      <c r="I145" s="47">
        <f>VLOOKUP($A145,'[4]YTD FTE'!$A$318:$X$346,COLUMN('[4]YTD FTE'!$V$7),FALSE)</f>
        <v>2208.8199999999997</v>
      </c>
      <c r="J145" s="47">
        <f>VLOOKUP($A145,'[4]YTD FTE'!$A$365:$X$393,COLUMN('[4]YTD FTE'!$V$7),FALSE)</f>
        <v>2232.3558333333335</v>
      </c>
      <c r="K145" s="57">
        <f>VLOOKUP($A145,'[4]YTD FTE'!$A$412:$X$439,COLUMN('[4]YTD FTE'!$V$410),FALSE)</f>
        <v>2241.7133333333331</v>
      </c>
      <c r="L145" s="57">
        <f>VLOOKUP($A145,'[4]YTD FTE'!$A$457:$X$487,COLUMN('[4]YTD FTE'!$V$456),FALSE)</f>
        <v>2272.5</v>
      </c>
      <c r="M145" s="57">
        <f>VLOOKUP($A145,'[4]YTD FTE'!$A$504:$X$534,COLUMN('[4]YTD FTE'!$V$504),FALSE)</f>
        <v>2319</v>
      </c>
    </row>
    <row r="146" spans="1:13">
      <c r="A146" s="209" t="s">
        <v>230</v>
      </c>
      <c r="B146" s="47">
        <f>VLOOKUP($A146,'[4]YTD FTE'!$A$9:$X$32,COLUMN('[4]YTD FTE'!$V$7),FALSE)</f>
        <v>1754.1958999999999</v>
      </c>
      <c r="C146" s="47">
        <f>VLOOKUP($A146,'[4]YTD FTE'!$A$50:$X$76,COLUMN('[4]YTD FTE'!$V$7),FALSE)</f>
        <v>1835.7725</v>
      </c>
      <c r="D146" s="47">
        <f>VLOOKUP($A146,'[4]YTD FTE'!$A$96:$X$118,COLUMN('[4]YTD FTE'!$V$7),FALSE)</f>
        <v>1825.2300999999998</v>
      </c>
      <c r="E146" s="47">
        <f>VLOOKUP($A146,'[4]YTD FTE'!$A$136:$X$158,COLUMN('[4]YTD FTE'!$V$7),FALSE)</f>
        <v>1807.2166999999999</v>
      </c>
      <c r="F146" s="47">
        <f>VLOOKUP($A146,'[4]YTD FTE'!$A$179:$X$207,COLUMN('[4]YTD FTE'!$V$7),FALSE)</f>
        <v>1853.4078769390001</v>
      </c>
      <c r="G146" s="47">
        <f>VLOOKUP($A146,'[4]YTD FTE'!$A$226:$X$254,COLUMN('[4]YTD FTE'!$V$7),FALSE)</f>
        <v>1843.386666666667</v>
      </c>
      <c r="H146" s="47">
        <f>VLOOKUP($A146,'[4]YTD FTE'!$A$272:$X$300,COLUMN('[4]YTD FTE'!$V$7),FALSE)</f>
        <v>1814.75</v>
      </c>
      <c r="I146" s="47">
        <f>VLOOKUP($A146,'[4]YTD FTE'!$A$318:$X$346,COLUMN('[4]YTD FTE'!$V$7),FALSE)</f>
        <v>1857.4871666666666</v>
      </c>
      <c r="J146" s="47">
        <f>VLOOKUP($A146,'[4]YTD FTE'!$A$365:$X$393,COLUMN('[4]YTD FTE'!$V$7),FALSE)</f>
        <v>1874.3279375</v>
      </c>
      <c r="K146" s="57">
        <f>VLOOKUP($A146,'[4]YTD FTE'!$A$412:$X$439,COLUMN('[4]YTD FTE'!$V$410),FALSE)</f>
        <v>1885.61</v>
      </c>
      <c r="L146" s="57">
        <f>VLOOKUP($A146,'[4]YTD FTE'!$A$457:$X$487,COLUMN('[4]YTD FTE'!$V$456),FALSE)</f>
        <v>1966.2458333333336</v>
      </c>
      <c r="M146" s="57">
        <f>VLOOKUP($A146,'[4]YTD FTE'!$A$504:$X$534,COLUMN('[4]YTD FTE'!$V$504),FALSE)</f>
        <v>2003.6188888888889</v>
      </c>
    </row>
    <row r="147" spans="1:13">
      <c r="A147" s="209" t="s">
        <v>231</v>
      </c>
      <c r="B147" s="47">
        <f>VLOOKUP($A147,'[4]YTD FTE'!$A$9:$X$32,COLUMN('[4]YTD FTE'!$V$7),FALSE)</f>
        <v>1842.2374</v>
      </c>
      <c r="C147" s="47">
        <f>VLOOKUP($A147,'[4]YTD FTE'!$A$50:$X$76,COLUMN('[4]YTD FTE'!$V$7),FALSE)</f>
        <v>1934.4349000000002</v>
      </c>
      <c r="D147" s="47">
        <f>VLOOKUP($A147,'[4]YTD FTE'!$A$96:$X$118,COLUMN('[4]YTD FTE'!$V$7),FALSE)</f>
        <v>2027.4051999999999</v>
      </c>
      <c r="E147" s="47">
        <f>VLOOKUP($A147,'[4]YTD FTE'!$A$136:$X$158,COLUMN('[4]YTD FTE'!$V$7),FALSE)</f>
        <v>2069.1632</v>
      </c>
      <c r="F147" s="47">
        <f>VLOOKUP($A147,'[4]YTD FTE'!$A$179:$X$207,COLUMN('[4]YTD FTE'!$V$7),FALSE)</f>
        <v>2111.5808991666668</v>
      </c>
      <c r="G147" s="47">
        <f>VLOOKUP($A147,'[4]YTD FTE'!$A$226:$X$254,COLUMN('[4]YTD FTE'!$V$7),FALSE)</f>
        <v>2101.5204666666664</v>
      </c>
      <c r="H147" s="47">
        <f>VLOOKUP($A147,'[4]YTD FTE'!$A$272:$X$300,COLUMN('[4]YTD FTE'!$V$7),FALSE)</f>
        <v>2135.1547</v>
      </c>
      <c r="I147" s="47">
        <f>VLOOKUP($A147,'[4]YTD FTE'!$A$318:$X$346,COLUMN('[4]YTD FTE'!$V$7),FALSE)</f>
        <v>2222.9048333333335</v>
      </c>
      <c r="J147" s="47">
        <f>VLOOKUP($A147,'[4]YTD FTE'!$A$365:$X$393,COLUMN('[4]YTD FTE'!$V$7),FALSE)</f>
        <v>2301.3295083333337</v>
      </c>
      <c r="K147" s="57">
        <f>VLOOKUP($A147,'[4]YTD FTE'!$A$412:$X$439,COLUMN('[4]YTD FTE'!$V$410),FALSE)</f>
        <v>2341.6501583333338</v>
      </c>
      <c r="L147" s="57">
        <f>VLOOKUP($A147,'[4]YTD FTE'!$A$457:$X$487,COLUMN('[4]YTD FTE'!$V$456),FALSE)</f>
        <v>2458.5746583333334</v>
      </c>
      <c r="M147" s="57">
        <f>VLOOKUP($A147,'[4]YTD FTE'!$A$504:$X$534,COLUMN('[4]YTD FTE'!$V$504),FALSE)</f>
        <v>2526.133322222222</v>
      </c>
    </row>
    <row r="148" spans="1:13">
      <c r="A148" s="209" t="s">
        <v>232</v>
      </c>
      <c r="B148" s="47">
        <f>VLOOKUP($A148,'[4]YTD FTE'!$A$9:$X$32,COLUMN('[4]YTD FTE'!$V$7),FALSE)</f>
        <v>2334.2325999999998</v>
      </c>
      <c r="C148" s="47">
        <f>VLOOKUP($A148,'[4]YTD FTE'!$A$50:$X$76,COLUMN('[4]YTD FTE'!$V$7),FALSE)</f>
        <v>2397.8441000000003</v>
      </c>
      <c r="D148" s="47"/>
      <c r="E148" s="47"/>
      <c r="F148" s="47"/>
      <c r="G148" s="47"/>
      <c r="H148" s="47"/>
      <c r="I148" s="47"/>
      <c r="J148" s="47"/>
      <c r="K148" s="57"/>
      <c r="L148" s="57"/>
      <c r="M148" s="57"/>
    </row>
    <row r="149" spans="1:13">
      <c r="A149" s="209" t="s">
        <v>233</v>
      </c>
      <c r="B149" s="47">
        <f>VLOOKUP($A149,'[4]YTD FTE'!$A$9:$X$32,COLUMN('[4]YTD FTE'!$V$7),FALSE)</f>
        <v>614.25009999999997</v>
      </c>
      <c r="C149" s="47">
        <f>VLOOKUP($A149,'[4]YTD FTE'!$A$50:$X$76,COLUMN('[4]YTD FTE'!$V$7),FALSE)</f>
        <v>631.04</v>
      </c>
      <c r="D149" s="47">
        <f>VLOOKUP($A149,'[4]YTD FTE'!$A$96:$X$118,COLUMN('[4]YTD FTE'!$V$7),FALSE)</f>
        <v>628.25</v>
      </c>
      <c r="E149" s="47">
        <f>VLOOKUP($A149,'[4]YTD FTE'!$A$136:$X$158,COLUMN('[4]YTD FTE'!$V$7),FALSE)</f>
        <v>646.58320000000003</v>
      </c>
      <c r="F149" s="47">
        <f>VLOOKUP($A149,'[4]YTD FTE'!$A$179:$X$207,COLUMN('[4]YTD FTE'!$V$7),FALSE)</f>
        <v>663.08333333333337</v>
      </c>
      <c r="G149" s="47">
        <f>VLOOKUP($A149,'[4]YTD FTE'!$A$226:$X$254,COLUMN('[4]YTD FTE'!$V$7),FALSE)</f>
        <v>667.90499999999997</v>
      </c>
      <c r="H149" s="47">
        <f>VLOOKUP($A149,'[4]YTD FTE'!$A$272:$X$300,COLUMN('[4]YTD FTE'!$V$7),FALSE)</f>
        <v>675.48833333333323</v>
      </c>
      <c r="I149" s="47">
        <f>VLOOKUP($A149,'[4]YTD FTE'!$A$318:$X$346,COLUMN('[4]YTD FTE'!$V$7),FALSE)</f>
        <v>679.87666666666667</v>
      </c>
      <c r="J149" s="47">
        <f>VLOOKUP($A149,'[4]YTD FTE'!$A$365:$X$393,COLUMN('[4]YTD FTE'!$V$7),FALSE)</f>
        <v>668.6774999999999</v>
      </c>
      <c r="K149" s="57">
        <f>VLOOKUP($A149,'[4]YTD FTE'!$A$412:$X$439,COLUMN('[4]YTD FTE'!$V$410),FALSE)</f>
        <v>647.53000000000009</v>
      </c>
      <c r="L149" s="57">
        <f>VLOOKUP($A149,'[4]YTD FTE'!$A$457:$X$487,COLUMN('[4]YTD FTE'!$V$456),FALSE)</f>
        <v>637.86249999999995</v>
      </c>
      <c r="M149" s="57">
        <f>VLOOKUP($A149,'[4]YTD FTE'!$A$504:$X$534,COLUMN('[4]YTD FTE'!$V$504),FALSE)</f>
        <v>631.42333333333352</v>
      </c>
    </row>
    <row r="150" spans="1:13">
      <c r="A150" s="209" t="s">
        <v>234</v>
      </c>
      <c r="B150" s="215">
        <f>B148+B151</f>
        <v>3300.2317999999996</v>
      </c>
      <c r="C150" s="215">
        <f>C148+C151</f>
        <v>3407.5082000000002</v>
      </c>
      <c r="D150" s="47">
        <f>VLOOKUP($A150,'[4]YTD FTE'!$A$96:$X$118,COLUMN('[4]YTD FTE'!$V$7),FALSE)</f>
        <v>3471.0241999999998</v>
      </c>
      <c r="E150" s="47">
        <f>VLOOKUP($A150,'[4]YTD FTE'!$A$136:$X$158,COLUMN('[4]YTD FTE'!$V$7),FALSE)</f>
        <v>3504.8333000000002</v>
      </c>
      <c r="F150" s="47">
        <f>VLOOKUP($A150,'[4]YTD FTE'!$A$179:$X$207,COLUMN('[4]YTD FTE'!$V$7),FALSE)</f>
        <v>3582.5833333333335</v>
      </c>
      <c r="G150" s="47">
        <f>VLOOKUP($A150,'[4]YTD FTE'!$A$226:$X$254,COLUMN('[4]YTD FTE'!$V$7),FALSE)</f>
        <v>3637.5833333333335</v>
      </c>
      <c r="H150" s="47">
        <f>VLOOKUP($A150,'[4]YTD FTE'!$A$272:$X$300,COLUMN('[4]YTD FTE'!$V$7),FALSE)</f>
        <v>3648.3225000000007</v>
      </c>
      <c r="I150" s="47">
        <f>VLOOKUP($A150,'[4]YTD FTE'!$A$318:$X$346,COLUMN('[4]YTD FTE'!$V$7),FALSE)</f>
        <v>3644.0849999999996</v>
      </c>
      <c r="J150" s="47">
        <f>VLOOKUP($A150,'[4]YTD FTE'!$A$365:$X$393,COLUMN('[4]YTD FTE'!$V$7),FALSE)</f>
        <v>3594.3274999999994</v>
      </c>
      <c r="K150" s="57">
        <f>VLOOKUP($A150,'[4]YTD FTE'!$A$412:$X$439,COLUMN('[4]YTD FTE'!$V$410),FALSE)</f>
        <v>3636.1758333333332</v>
      </c>
      <c r="L150" s="57">
        <f>VLOOKUP($A150,'[4]YTD FTE'!$A$457:$X$487,COLUMN('[4]YTD FTE'!$V$456),FALSE)</f>
        <v>3669.5416666666665</v>
      </c>
      <c r="M150" s="57">
        <f>VLOOKUP($A150,'[4]YTD FTE'!$A$504:$X$534,COLUMN('[4]YTD FTE'!$V$504),FALSE)</f>
        <v>3776.4144444444441</v>
      </c>
    </row>
    <row r="151" spans="1:13">
      <c r="A151" s="209" t="s">
        <v>235</v>
      </c>
      <c r="B151" s="47">
        <f>VLOOKUP($A151,'[4]YTD FTE'!$A$9:$X$32,COLUMN('[4]YTD FTE'!$V$7),FALSE)</f>
        <v>965.99919999999997</v>
      </c>
      <c r="C151" s="47">
        <f>VLOOKUP($A151,'[4]YTD FTE'!$A$50:$X$76,COLUMN('[4]YTD FTE'!$V$7),FALSE)</f>
        <v>1009.6641</v>
      </c>
      <c r="D151" s="47"/>
      <c r="E151" s="47"/>
      <c r="F151" s="47"/>
      <c r="G151" s="47"/>
      <c r="H151" s="47"/>
      <c r="I151" s="47"/>
      <c r="J151" s="47"/>
      <c r="K151" s="57"/>
      <c r="L151" s="57"/>
      <c r="M151" s="57"/>
    </row>
    <row r="152" spans="1:13">
      <c r="A152" s="209" t="s">
        <v>236</v>
      </c>
      <c r="B152" s="47">
        <f>VLOOKUP($A152,'[4]YTD FTE'!$A$9:$X$32,COLUMN('[4]YTD FTE'!$V$7),FALSE)</f>
        <v>583.19169999999997</v>
      </c>
      <c r="C152" s="47">
        <f>VLOOKUP($A152,'[4]YTD FTE'!$A$50:$X$76,COLUMN('[4]YTD FTE'!$V$7),FALSE)</f>
        <v>608.13</v>
      </c>
      <c r="D152" s="47">
        <f>VLOOKUP($A152,'[4]YTD FTE'!$A$96:$X$118,COLUMN('[4]YTD FTE'!$V$7),FALSE)</f>
        <v>622.15829999999994</v>
      </c>
      <c r="E152" s="47">
        <f>VLOOKUP($A152,'[4]YTD FTE'!$A$136:$X$158,COLUMN('[4]YTD FTE'!$V$7),FALSE)</f>
        <v>620.65419999999995</v>
      </c>
      <c r="F152" s="47">
        <f>VLOOKUP($A152,'[4]YTD FTE'!$A$179:$X$207,COLUMN('[4]YTD FTE'!$V$7),FALSE)</f>
        <v>624.66666666666663</v>
      </c>
      <c r="G152" s="47">
        <f>VLOOKUP($A152,'[4]YTD FTE'!$A$226:$X$254,COLUMN('[4]YTD FTE'!$V$7),FALSE)</f>
        <v>642.91666666666663</v>
      </c>
      <c r="H152" s="47">
        <f>VLOOKUP($A152,'[4]YTD FTE'!$A$272:$X$300,COLUMN('[4]YTD FTE'!$V$7),FALSE)</f>
        <v>630.08333333333337</v>
      </c>
      <c r="I152" s="47">
        <f>VLOOKUP($A152,'[4]YTD FTE'!$A$318:$X$346,COLUMN('[4]YTD FTE'!$V$7),FALSE)</f>
        <v>645.86333333333334</v>
      </c>
      <c r="J152" s="47">
        <f>VLOOKUP($A152,'[4]YTD FTE'!$A$365:$X$393,COLUMN('[4]YTD FTE'!$V$7),FALSE)</f>
        <v>657.39083333333338</v>
      </c>
      <c r="K152" s="57">
        <f>VLOOKUP($A152,'[4]YTD FTE'!$A$412:$X$439,COLUMN('[4]YTD FTE'!$V$410),FALSE)</f>
        <v>662.41666666666663</v>
      </c>
      <c r="L152" s="57">
        <f>VLOOKUP($A152,'[4]YTD FTE'!$A$457:$X$487,COLUMN('[4]YTD FTE'!$V$456),FALSE)</f>
        <v>699.41666666666663</v>
      </c>
      <c r="M152" s="57">
        <f>VLOOKUP($A152,'[4]YTD FTE'!$A$504:$X$534,COLUMN('[4]YTD FTE'!$V$504),FALSE)</f>
        <v>745.55555555555554</v>
      </c>
    </row>
    <row r="153" spans="1:13">
      <c r="A153" s="209" t="s">
        <v>237</v>
      </c>
      <c r="B153" s="47">
        <f>VLOOKUP($A153,'[4]YTD FTE'!$A$9:$X$32,COLUMN('[4]YTD FTE'!$V$7),FALSE)</f>
        <v>1230.7199000000001</v>
      </c>
      <c r="C153" s="47">
        <f>VLOOKUP($A153,'[4]YTD FTE'!$A$50:$X$76,COLUMN('[4]YTD FTE'!$V$7),FALSE)</f>
        <v>1266.9141</v>
      </c>
      <c r="D153" s="47">
        <f>VLOOKUP($A153,'[4]YTD FTE'!$A$96:$X$118,COLUMN('[4]YTD FTE'!$V$7),FALSE)</f>
        <v>1267.4692</v>
      </c>
      <c r="E153" s="47">
        <f>VLOOKUP($A153,'[4]YTD FTE'!$A$136:$X$158,COLUMN('[4]YTD FTE'!$V$7),FALSE)</f>
        <v>1300.2291</v>
      </c>
      <c r="F153" s="47">
        <f>VLOOKUP($A153,'[4]YTD FTE'!$A$179:$X$207,COLUMN('[4]YTD FTE'!$V$7),FALSE)</f>
        <v>1315.3675000000001</v>
      </c>
      <c r="G153" s="47">
        <f>VLOOKUP($A153,'[4]YTD FTE'!$A$226:$X$254,COLUMN('[4]YTD FTE'!$V$7),FALSE)</f>
        <v>1325.7550000000001</v>
      </c>
      <c r="H153" s="47">
        <f>VLOOKUP($A153,'[4]YTD FTE'!$A$272:$X$300,COLUMN('[4]YTD FTE'!$V$7),FALSE)</f>
        <v>1316.9533333333336</v>
      </c>
      <c r="I153" s="47">
        <f>VLOOKUP($A153,'[4]YTD FTE'!$A$318:$X$346,COLUMN('[4]YTD FTE'!$V$7),FALSE)</f>
        <v>1334.0608333333332</v>
      </c>
      <c r="J153" s="47">
        <f>VLOOKUP($A153,'[4]YTD FTE'!$A$365:$X$393,COLUMN('[4]YTD FTE'!$V$7),FALSE)</f>
        <v>1357.8708333333336</v>
      </c>
      <c r="K153" s="57">
        <f>VLOOKUP($A153,'[4]YTD FTE'!$A$412:$X$439,COLUMN('[4]YTD FTE'!$V$410),FALSE)</f>
        <v>1435.2891666666667</v>
      </c>
      <c r="L153" s="57">
        <f>VLOOKUP($A153,'[4]YTD FTE'!$A$457:$X$487,COLUMN('[4]YTD FTE'!$V$456),FALSE)</f>
        <v>1482.5733333333335</v>
      </c>
      <c r="M153" s="57">
        <f>VLOOKUP($A153,'[4]YTD FTE'!$A$504:$X$534,COLUMN('[4]YTD FTE'!$V$504),FALSE)</f>
        <v>1534.9533333333334</v>
      </c>
    </row>
    <row r="154" spans="1:13">
      <c r="A154" s="209" t="s">
        <v>238</v>
      </c>
      <c r="B154" s="47">
        <f>VLOOKUP($A154,'[4]YTD FTE'!$A$9:$X$32,COLUMN('[4]YTD FTE'!$V$7),FALSE)</f>
        <v>4443.1041999999998</v>
      </c>
      <c r="C154" s="47">
        <f>VLOOKUP($A154,'[4]YTD FTE'!$A$50:$X$76,COLUMN('[4]YTD FTE'!$V$7),FALSE)</f>
        <v>4758.9341999999997</v>
      </c>
      <c r="D154" s="47">
        <f>VLOOKUP($A154,'[4]YTD FTE'!$A$96:$X$118,COLUMN('[4]YTD FTE'!$V$7),FALSE)</f>
        <v>4953.955899999999</v>
      </c>
      <c r="E154" s="47">
        <f>VLOOKUP($A154,'[4]YTD FTE'!$A$136:$X$158,COLUMN('[4]YTD FTE'!$V$7),FALSE)</f>
        <v>5125.5392000000002</v>
      </c>
      <c r="F154" s="47">
        <f>VLOOKUP($A154,'[4]YTD FTE'!$A$179:$X$207,COLUMN('[4]YTD FTE'!$V$7),FALSE)</f>
        <v>5252.6924999999992</v>
      </c>
      <c r="G154" s="47">
        <f>VLOOKUP($A154,'[4]YTD FTE'!$A$226:$X$254,COLUMN('[4]YTD FTE'!$V$7),FALSE)</f>
        <v>5296.6816666666664</v>
      </c>
      <c r="H154" s="47">
        <f>VLOOKUP($A154,'[4]YTD FTE'!$A$272:$X$300,COLUMN('[4]YTD FTE'!$V$7),FALSE)</f>
        <v>5433.104166666667</v>
      </c>
      <c r="I154" s="47">
        <f>VLOOKUP($A154,'[4]YTD FTE'!$A$318:$X$346,COLUMN('[4]YTD FTE'!$V$7),FALSE)</f>
        <v>5551.0750000000007</v>
      </c>
      <c r="J154" s="47">
        <f>VLOOKUP($A154,'[4]YTD FTE'!$A$365:$X$393,COLUMN('[4]YTD FTE'!$V$7),FALSE)</f>
        <v>5612.5024999999996</v>
      </c>
      <c r="K154" s="57">
        <f>VLOOKUP($A154,'[4]YTD FTE'!$A$412:$X$439,COLUMN('[4]YTD FTE'!$V$410),FALSE)</f>
        <v>5862.5224999999991</v>
      </c>
      <c r="L154" s="57">
        <f>VLOOKUP($A154,'[4]YTD FTE'!$A$457:$X$487,COLUMN('[4]YTD FTE'!$V$456),FALSE)</f>
        <v>6046.2758333333331</v>
      </c>
      <c r="M154" s="57">
        <f>VLOOKUP($A154,'[4]YTD FTE'!$A$504:$X$534,COLUMN('[4]YTD FTE'!$V$504),FALSE)</f>
        <v>6531.0633333333335</v>
      </c>
    </row>
    <row r="155" spans="1:13">
      <c r="A155" s="209" t="s">
        <v>239</v>
      </c>
      <c r="B155" s="47">
        <f>VLOOKUP($A155,'[4]YTD FTE'!$A$9:$X$32,COLUMN('[4]YTD FTE'!$V$7),FALSE)</f>
        <v>406.2192</v>
      </c>
      <c r="C155" s="47">
        <f>VLOOKUP($A155,'[4]YTD FTE'!$A$50:$X$76,COLUMN('[4]YTD FTE'!$V$7),FALSE)</f>
        <v>432.51</v>
      </c>
      <c r="D155" s="47">
        <f>VLOOKUP($A155,'[4]YTD FTE'!$A$96:$X$118,COLUMN('[4]YTD FTE'!$V$7),FALSE)</f>
        <v>437.13259999999997</v>
      </c>
      <c r="E155" s="47">
        <f>VLOOKUP($A155,'[4]YTD FTE'!$A$136:$X$158,COLUMN('[4]YTD FTE'!$V$7),FALSE)</f>
        <v>440.84879999999998</v>
      </c>
      <c r="F155" s="47">
        <f>VLOOKUP($A155,'[4]YTD FTE'!$A$179:$X$207,COLUMN('[4]YTD FTE'!$V$7),FALSE)</f>
        <v>440.95833333333331</v>
      </c>
      <c r="G155" s="47">
        <f>VLOOKUP($A155,'[4]YTD FTE'!$A$226:$X$254,COLUMN('[4]YTD FTE'!$V$7),FALSE)</f>
        <v>426.11141666666663</v>
      </c>
      <c r="H155" s="47">
        <f>VLOOKUP($A155,'[4]YTD FTE'!$A$272:$X$300,COLUMN('[4]YTD FTE'!$V$7),FALSE)</f>
        <v>417.9591666666667</v>
      </c>
      <c r="I155" s="47">
        <f>VLOOKUP($A155,'[4]YTD FTE'!$A$318:$X$346,COLUMN('[4]YTD FTE'!$V$7),FALSE)</f>
        <v>432.8535</v>
      </c>
      <c r="J155" s="47">
        <f>VLOOKUP($A155,'[4]YTD FTE'!$A$365:$X$393,COLUMN('[4]YTD FTE'!$V$7),FALSE)</f>
        <v>442.5725833333334</v>
      </c>
      <c r="K155" s="57">
        <f>VLOOKUP($A155,'[4]YTD FTE'!$A$412:$X$439,COLUMN('[4]YTD FTE'!$V$410),FALSE)</f>
        <v>457.96858333333336</v>
      </c>
      <c r="L155" s="57">
        <f>VLOOKUP($A155,'[4]YTD FTE'!$A$457:$X$487,COLUMN('[4]YTD FTE'!$V$456),FALSE)</f>
        <v>480.29349999999994</v>
      </c>
      <c r="M155" s="57">
        <f>VLOOKUP($A155,'[4]YTD FTE'!$A$504:$X$534,COLUMN('[4]YTD FTE'!$V$504),FALSE)</f>
        <v>496.49466666666672</v>
      </c>
    </row>
    <row r="156" spans="1:13">
      <c r="A156" s="209" t="s">
        <v>240</v>
      </c>
      <c r="B156" s="47">
        <f>VLOOKUP($A156,'[4]YTD FTE'!$A$9:$X$32,COLUMN('[4]YTD FTE'!$V$7),FALSE)</f>
        <v>4781.9168000000009</v>
      </c>
      <c r="C156" s="47">
        <f>VLOOKUP($A156,'[4]YTD FTE'!$A$50:$X$76,COLUMN('[4]YTD FTE'!$V$7),FALSE)</f>
        <v>5121.75</v>
      </c>
      <c r="D156" s="47">
        <f>VLOOKUP($A156,'[4]YTD FTE'!$A$96:$X$118,COLUMN('[4]YTD FTE'!$V$7),FALSE)</f>
        <v>5253.9308000000001</v>
      </c>
      <c r="E156" s="47">
        <f>VLOOKUP($A156,'[4]YTD FTE'!$A$136:$X$158,COLUMN('[4]YTD FTE'!$V$7),FALSE)</f>
        <v>5252.7792000000009</v>
      </c>
      <c r="F156" s="47">
        <f>VLOOKUP($A156,'[4]YTD FTE'!$A$179:$X$207,COLUMN('[4]YTD FTE'!$V$7),FALSE)</f>
        <v>5620.7221</v>
      </c>
      <c r="G156" s="47">
        <f>VLOOKUP($A156,'[4]YTD FTE'!$A$226:$X$254,COLUMN('[4]YTD FTE'!$V$7),FALSE)</f>
        <v>5797.1958333333341</v>
      </c>
      <c r="H156" s="47">
        <f>VLOOKUP($A156,'[4]YTD FTE'!$A$272:$X$300,COLUMN('[4]YTD FTE'!$V$7),FALSE)</f>
        <v>5971.7041666666664</v>
      </c>
      <c r="I156" s="47">
        <f>VLOOKUP($A156,'[4]YTD FTE'!$A$318:$X$346,COLUMN('[4]YTD FTE'!$V$7),FALSE)</f>
        <v>6230.9725841666659</v>
      </c>
      <c r="J156" s="47">
        <f>VLOOKUP($A156,'[4]YTD FTE'!$A$365:$X$393,COLUMN('[4]YTD FTE'!$V$7),FALSE)</f>
        <v>6395.0950000000003</v>
      </c>
      <c r="K156" s="57">
        <f>VLOOKUP($A156,'[4]YTD FTE'!$A$412:$X$439,COLUMN('[4]YTD FTE'!$V$410),FALSE)</f>
        <v>6623.2258333333339</v>
      </c>
      <c r="L156" s="57">
        <f>VLOOKUP($A156,'[4]YTD FTE'!$A$457:$X$487,COLUMN('[4]YTD FTE'!$V$456),FALSE)</f>
        <v>6745.6916666666666</v>
      </c>
      <c r="M156" s="57">
        <f>VLOOKUP($A156,'[4]YTD FTE'!$A$504:$X$534,COLUMN('[4]YTD FTE'!$V$504),FALSE)</f>
        <v>6710.1800000000012</v>
      </c>
    </row>
    <row r="157" spans="1:13">
      <c r="A157" s="209" t="s">
        <v>241</v>
      </c>
      <c r="B157" s="47">
        <f>VLOOKUP($A157,'[4]YTD FTE'!$A$9:$X$32,COLUMN('[4]YTD FTE'!$V$7),FALSE)</f>
        <v>627.50840000000005</v>
      </c>
      <c r="C157" s="47">
        <f>VLOOKUP($A157,'[4]YTD FTE'!$A$50:$X$76,COLUMN('[4]YTD FTE'!$V$7),FALSE)</f>
        <v>657.07500000000005</v>
      </c>
      <c r="D157" s="47">
        <f>VLOOKUP($A157,'[4]YTD FTE'!$A$96:$X$118,COLUMN('[4]YTD FTE'!$V$7),FALSE)</f>
        <v>686.85419999999999</v>
      </c>
      <c r="E157" s="47">
        <f>VLOOKUP($A157,'[4]YTD FTE'!$A$136:$X$158,COLUMN('[4]YTD FTE'!$V$7),FALSE)</f>
        <v>685.89899999999989</v>
      </c>
      <c r="F157" s="47">
        <f>VLOOKUP($A157,'[4]YTD FTE'!$A$179:$X$207,COLUMN('[4]YTD FTE'!$V$7),FALSE)</f>
        <v>635.2833333333333</v>
      </c>
      <c r="G157" s="47">
        <f>VLOOKUP($A157,'[4]YTD FTE'!$A$226:$X$254,COLUMN('[4]YTD FTE'!$V$7),FALSE)</f>
        <v>657.32333333333349</v>
      </c>
      <c r="H157" s="47">
        <f>VLOOKUP($A157,'[4]YTD FTE'!$A$272:$X$300,COLUMN('[4]YTD FTE'!$V$7),FALSE)</f>
        <v>670.08</v>
      </c>
      <c r="I157" s="47">
        <f>VLOOKUP($A157,'[4]YTD FTE'!$A$318:$X$346,COLUMN('[4]YTD FTE'!$V$7),FALSE)</f>
        <v>666.22833333333335</v>
      </c>
      <c r="J157" s="47">
        <f>VLOOKUP($A157,'[4]YTD FTE'!$A$365:$X$393,COLUMN('[4]YTD FTE'!$V$7),FALSE)</f>
        <v>683.57500000000016</v>
      </c>
      <c r="K157" s="57">
        <f>VLOOKUP($A157,'[4]YTD FTE'!$A$412:$X$439,COLUMN('[4]YTD FTE'!$V$410),FALSE)</f>
        <v>686.22675664583346</v>
      </c>
      <c r="L157" s="57">
        <f>VLOOKUP($A157,'[4]YTD FTE'!$A$457:$X$487,COLUMN('[4]YTD FTE'!$V$456),FALSE)</f>
        <v>673.15853544449999</v>
      </c>
      <c r="M157" s="57">
        <f>VLOOKUP($A157,'[4]YTD FTE'!$A$504:$X$534,COLUMN('[4]YTD FTE'!$V$504),FALSE)</f>
        <v>658.67878611111109</v>
      </c>
    </row>
    <row r="158" spans="1:13">
      <c r="A158" s="210" t="s">
        <v>242</v>
      </c>
      <c r="B158" s="217">
        <f>VLOOKUP($A158,'[4]YTD FTE'!$A$9:$X$32,COLUMN('[4]YTD FTE'!$V$7),FALSE)</f>
        <v>796.4126</v>
      </c>
      <c r="C158" s="217">
        <f>VLOOKUP($A158,'[4]YTD FTE'!$A$50:$X$76,COLUMN('[4]YTD FTE'!$V$7),FALSE)</f>
        <v>810.98490000000004</v>
      </c>
      <c r="D158" s="217">
        <f>VLOOKUP($A158,'[4]YTD FTE'!$A$96:$X$118,COLUMN('[4]YTD FTE'!$V$7),FALSE)</f>
        <v>808.36</v>
      </c>
      <c r="E158" s="217">
        <f>VLOOKUP($A158,'[4]YTD FTE'!$A$136:$X$158,COLUMN('[4]YTD FTE'!$V$7),FALSE)</f>
        <v>804.06659999999999</v>
      </c>
      <c r="F158" s="217">
        <f>VLOOKUP($A158,'[4]YTD FTE'!$A$179:$X$207,COLUMN('[4]YTD FTE'!$V$7),FALSE)</f>
        <v>798.3850000000001</v>
      </c>
      <c r="G158" s="217">
        <f>VLOOKUP($A158,'[4]YTD FTE'!$A$226:$X$254,COLUMN('[4]YTD FTE'!$V$7),FALSE)</f>
        <v>810.07749999999999</v>
      </c>
      <c r="H158" s="217">
        <f>VLOOKUP($A158,'[4]YTD FTE'!$A$272:$X$300,COLUMN('[4]YTD FTE'!$V$7),FALSE)</f>
        <v>810.60833333333323</v>
      </c>
      <c r="I158" s="217">
        <f>VLOOKUP($A158,'[4]YTD FTE'!$A$318:$X$346,COLUMN('[4]YTD FTE'!$V$7),FALSE)</f>
        <v>818.00161666666656</v>
      </c>
      <c r="J158" s="217">
        <f>VLOOKUP($A158,'[4]YTD FTE'!$A$365:$X$393,COLUMN('[4]YTD FTE'!$V$7),FALSE)</f>
        <v>829.84346666666659</v>
      </c>
      <c r="K158" s="217">
        <f>VLOOKUP($A158,'[4]YTD FTE'!$A$412:$X$439,COLUMN('[4]YTD FTE'!$V$410),FALSE)</f>
        <v>856.27634166666667</v>
      </c>
      <c r="L158" s="217">
        <f>VLOOKUP($A158,'[4]YTD FTE'!$A$457:$X$487,COLUMN('[4]YTD FTE'!$V$456),FALSE)</f>
        <v>893.21685833333333</v>
      </c>
      <c r="M158" s="217">
        <f>VLOOKUP($A158,'[4]YTD FTE'!$A$504:$X$534,COLUMN('[4]YTD FTE'!$V$504),FALSE)</f>
        <v>916.01535555555552</v>
      </c>
    </row>
    <row r="159" spans="1:13">
      <c r="A159" s="213" t="s">
        <v>156</v>
      </c>
      <c r="B159" s="47">
        <f>VLOOKUP($A159,'[4]YTD FTE'!$A$9:$X$32,COLUMN('[4]YTD FTE'!$V$7),FALSE)</f>
        <v>51391.705600000001</v>
      </c>
      <c r="C159" s="47">
        <f>VLOOKUP($A159,'[4]YTD FTE'!$A$50:$X$76,COLUMN('[4]YTD FTE'!$V$7),FALSE)</f>
        <v>54048.992100000003</v>
      </c>
      <c r="D159" s="47">
        <f>VLOOKUP($A159,'[4]YTD FTE'!$A$96:$X$118,COLUMN('[4]YTD FTE'!$V$7),FALSE)</f>
        <v>55697.374500000005</v>
      </c>
      <c r="E159" s="47">
        <f>VLOOKUP($A159,'[4]YTD FTE'!$A$136:$X$158,COLUMN('[4]YTD FTE'!$V$7),FALSE)</f>
        <v>56205.383900000001</v>
      </c>
      <c r="F159" s="47">
        <f>VLOOKUP($A159,'[4]YTD FTE'!$A$179:$X$207,COLUMN('[4]YTD FTE'!$V$7),FALSE)</f>
        <v>57266.668568406087</v>
      </c>
      <c r="G159" s="47">
        <f>VLOOKUP($A159,'[4]YTD FTE'!$A$226:$X$254,COLUMN('[4]YTD FTE'!$V$7),FALSE)</f>
        <v>58389.61688154866</v>
      </c>
      <c r="H159" s="47">
        <f>VLOOKUP($A159,'[4]YTD FTE'!$A$272:$X$300,COLUMN('[4]YTD FTE'!$V$7),FALSE)</f>
        <v>59350.439114178007</v>
      </c>
      <c r="I159" s="47">
        <f>VLOOKUP($A159,'[4]YTD FTE'!$A$318:$X$346,COLUMN('[4]YTD FTE'!$V$7),FALSE)</f>
        <v>60613.023581541675</v>
      </c>
      <c r="J159" s="47">
        <f>VLOOKUP($A159,'[4]YTD FTE'!$A$365:$X$393,COLUMN('[4]YTD FTE'!$V$7),FALSE)</f>
        <v>61431.918906962666</v>
      </c>
      <c r="K159" s="57">
        <f>VLOOKUP($A159,'[4]YTD FTE'!$A$412:$X$439,COLUMN('[4]YTD FTE'!$V$410),FALSE)</f>
        <v>62878.707981645835</v>
      </c>
      <c r="L159" s="57">
        <f>VLOOKUP($A159,'[4]YTD FTE'!$A$457:$X$487,COLUMN('[4]YTD FTE'!$V$456),FALSE)</f>
        <v>64992.553431481669</v>
      </c>
      <c r="M159" s="57">
        <f>VLOOKUP($A159,'[4]YTD FTE'!$A$504:$X$534,COLUMN('[4]YTD FTE'!$V$504),FALSE)</f>
        <v>67001.431425753559</v>
      </c>
    </row>
    <row r="161" spans="1:28">
      <c r="A161" s="204" t="s">
        <v>259</v>
      </c>
      <c r="K161" s="9"/>
      <c r="L161" s="9"/>
      <c r="M161" s="9"/>
      <c r="O161" s="109" t="s">
        <v>260</v>
      </c>
      <c r="Y161" s="9"/>
    </row>
    <row r="162" spans="1:28">
      <c r="A162" s="209" t="s">
        <v>221</v>
      </c>
      <c r="B162" s="47">
        <f>VLOOKUP($A162,'[4]Ave FTE cost'!A$9:X$32,COLUMN('[4]Ave FTE cost'!$V$7),FALSE)</f>
        <v>82.933335891101464</v>
      </c>
      <c r="C162" s="47">
        <f>VLOOKUP($A162,'[4]Ave FTE cost'!$A$55:$X$78,COLUMN('[4]Ave FTE cost'!$V$7),FALSE)</f>
        <v>86.131232284975823</v>
      </c>
      <c r="D162" s="47">
        <f>VLOOKUP($A162,'[4]Ave FTE cost'!$A$100:$X$122,COLUMN('[4]Ave FTE cost'!$V$7),FALSE)</f>
        <v>90.349586498753752</v>
      </c>
      <c r="E162" s="57">
        <f>VLOOKUP($A162,'[4]Ave FTE cost'!$A$144:$X$166,COLUMN('[4]Ave FTE cost'!$V$7),FALSE)</f>
        <v>90.927453190500231</v>
      </c>
      <c r="F162" s="57">
        <f>VLOOKUP($A162,'[4]Ave FTE cost'!$A$186:$X$214,COLUMN('[4]Ave FTE cost'!$V$7),FALSE)</f>
        <v>95.490765038835519</v>
      </c>
      <c r="G162" s="57">
        <f>VLOOKUP($A162,'[4]Ave FTE cost'!$A$231:$X$259,COLUMN('[4]Ave FTE cost'!$V$7),FALSE)</f>
        <v>97.77197751573452</v>
      </c>
      <c r="H162" s="47">
        <f>VLOOKUP($A162,'[4]Ave FTE cost'!$A$275:$X$303,COLUMN('[4]Ave FTE cost'!$V$7),FALSE)</f>
        <v>100.1787043789965</v>
      </c>
      <c r="I162" s="47">
        <f>VLOOKUP($A162,'[4]Ave FTE cost'!$A$320:$X$347,COLUMN('[4]Ave FTE cost'!$V$7),FALSE)</f>
        <v>100.23634078932042</v>
      </c>
      <c r="J162" s="47">
        <f>VLOOKUP($A162,'[4]Ave FTE cost'!$A$364:$X$391,COLUMN('[4]Ave FTE cost'!$V$7),FALSE)</f>
        <v>103.49134819690208</v>
      </c>
      <c r="K162" s="47">
        <f>VLOOKUP($A162,'[4]Ave FTE cost'!$A$407:$X$434,COLUMN('[4]Ave FTE cost'!$V$406),FALSE)</f>
        <v>104.62953588238433</v>
      </c>
      <c r="L162" s="47">
        <f>VLOOKUP($A162,'[4]Ave FTE cost'!$A$448:$X$477,COLUMN('[4]Ave FTE cost'!$V$406),FALSE)</f>
        <v>106.83263173746298</v>
      </c>
      <c r="M162" s="47">
        <f>VLOOKUP($A162,'[4]Ave FTE cost'!$A$490:$X$519,COLUMN('[4]Ave FTE cost'!$V$406),FALSE)</f>
        <v>107.58776599066354</v>
      </c>
      <c r="O162" s="209" t="s">
        <v>221</v>
      </c>
      <c r="Q162" s="89">
        <f t="shared" ref="Q162:Z177" si="14">C162/B162-1</f>
        <v>3.8559842788350673E-2</v>
      </c>
      <c r="R162" s="89">
        <f t="shared" si="14"/>
        <v>4.8975895292209248E-2</v>
      </c>
      <c r="S162" s="89">
        <f t="shared" si="14"/>
        <v>6.3958974704820815E-3</v>
      </c>
      <c r="T162" s="89">
        <f t="shared" si="14"/>
        <v>5.0186293448413188E-2</v>
      </c>
      <c r="U162" s="89">
        <f t="shared" si="14"/>
        <v>2.3889351771045453E-2</v>
      </c>
      <c r="V162" s="89">
        <f t="shared" si="14"/>
        <v>2.4615712235897647E-2</v>
      </c>
      <c r="W162" s="89">
        <f t="shared" si="14"/>
        <v>5.7533595269787519E-4</v>
      </c>
      <c r="X162" s="89">
        <f t="shared" si="14"/>
        <v>3.2473326359978794E-2</v>
      </c>
      <c r="Y162" s="89">
        <f t="shared" si="14"/>
        <v>1.0997901808339927E-2</v>
      </c>
      <c r="Z162" s="89">
        <f t="shared" si="14"/>
        <v>2.1056156242107216E-2</v>
      </c>
      <c r="AA162" s="56">
        <f>VLOOKUP($O162,'[4]Ave FTE cost'!$A$492:$Y$519,COLUMN('[4]Ave FTE cost'!$Y$490),FALSE)</f>
        <v>4.1896045780163815E-2</v>
      </c>
      <c r="AB162" s="89"/>
    </row>
    <row r="163" spans="1:28">
      <c r="A163" s="209" t="s">
        <v>222</v>
      </c>
      <c r="B163" s="47">
        <f>VLOOKUP($A163,'[4]Ave FTE cost'!A$9:X$32,COLUMN('[4]Ave FTE cost'!$V$7),FALSE)</f>
        <v>73.086335825968732</v>
      </c>
      <c r="C163" s="47">
        <f>VLOOKUP($A163,'[4]Ave FTE cost'!$A$55:$X$78,COLUMN('[4]Ave FTE cost'!$V$7),FALSE)</f>
        <v>77.32409613827511</v>
      </c>
      <c r="D163" s="47">
        <f>VLOOKUP($A163,'[4]Ave FTE cost'!$A$100:$X$122,COLUMN('[4]Ave FTE cost'!$V$7),FALSE)</f>
        <v>79.006301932627593</v>
      </c>
      <c r="E163" s="47">
        <f>VLOOKUP($A163,'[4]Ave FTE cost'!$A$144:$X$166,COLUMN('[4]Ave FTE cost'!$V$7),FALSE)</f>
        <v>81.644694186297812</v>
      </c>
      <c r="F163" s="47">
        <f>VLOOKUP($A163,'[4]Ave FTE cost'!$A$186:$X$214,COLUMN('[4]Ave FTE cost'!$V$7),FALSE)</f>
        <v>83.541305483028722</v>
      </c>
      <c r="G163" s="47">
        <f>VLOOKUP($A163,'[4]Ave FTE cost'!$A$231:$X$259,COLUMN('[4]Ave FTE cost'!$V$7),FALSE)</f>
        <v>85.128097877235177</v>
      </c>
      <c r="H163" s="47">
        <f>VLOOKUP($A163,'[4]Ave FTE cost'!$A$275:$X$303,COLUMN('[4]Ave FTE cost'!$V$7),FALSE)</f>
        <v>87.105318822285142</v>
      </c>
      <c r="I163" s="47">
        <f>VLOOKUP($A163,'[4]Ave FTE cost'!$A$320:$X$347,COLUMN('[4]Ave FTE cost'!$V$7),FALSE)</f>
        <v>87.837234567901234</v>
      </c>
      <c r="J163" s="47">
        <f>VLOOKUP($A163,'[4]Ave FTE cost'!$A$364:$X$391,COLUMN('[4]Ave FTE cost'!$V$7),FALSE)</f>
        <v>90.858825521009479</v>
      </c>
      <c r="K163" s="47">
        <f>VLOOKUP($A163,'[4]Ave FTE cost'!$A$407:$X$434,COLUMN('[4]Ave FTE cost'!$V$406),FALSE)</f>
        <v>91.908876697425299</v>
      </c>
      <c r="L163" s="47">
        <f>VLOOKUP($A163,'[4]Ave FTE cost'!$A$448:$X$477,COLUMN('[4]Ave FTE cost'!$V$406),FALSE)</f>
        <v>94.403090290720669</v>
      </c>
      <c r="M163" s="47">
        <f>VLOOKUP($A163,'[4]Ave FTE cost'!$A$490:$X$519,COLUMN('[4]Ave FTE cost'!$V$406),FALSE)</f>
        <v>98.476127419119393</v>
      </c>
      <c r="O163" s="209" t="s">
        <v>222</v>
      </c>
      <c r="Q163" s="89">
        <f t="shared" si="14"/>
        <v>5.7982935721353268E-2</v>
      </c>
      <c r="R163" s="89">
        <f t="shared" si="14"/>
        <v>2.1755259723233999E-2</v>
      </c>
      <c r="S163" s="89">
        <f t="shared" si="14"/>
        <v>3.3394706360514226E-2</v>
      </c>
      <c r="T163" s="89">
        <f t="shared" si="14"/>
        <v>2.3230061862969276E-2</v>
      </c>
      <c r="U163" s="89">
        <f t="shared" si="14"/>
        <v>1.8994105790324456E-2</v>
      </c>
      <c r="V163" s="89">
        <f t="shared" si="14"/>
        <v>2.3226419881968274E-2</v>
      </c>
      <c r="W163" s="89">
        <f t="shared" si="14"/>
        <v>8.4026527370775206E-3</v>
      </c>
      <c r="X163" s="89">
        <f t="shared" si="14"/>
        <v>3.439988710906472E-2</v>
      </c>
      <c r="Y163" s="89">
        <f t="shared" si="14"/>
        <v>1.1556953002578974E-2</v>
      </c>
      <c r="Z163" s="89">
        <f t="shared" si="14"/>
        <v>2.7137896609340739E-2</v>
      </c>
      <c r="AA163" s="56">
        <f>VLOOKUP($O163,'[4]Ave FTE cost'!$A$492:$Y$519,COLUMN('[4]Ave FTE cost'!$Y$490),FALSE)</f>
        <v>2.2170497283023227E-2</v>
      </c>
      <c r="AB163" s="89"/>
    </row>
    <row r="164" spans="1:28">
      <c r="A164" s="209" t="s">
        <v>223</v>
      </c>
      <c r="B164" s="47">
        <f>VLOOKUP($A164,'[4]Ave FTE cost'!A$9:X$32,COLUMN('[4]Ave FTE cost'!$V$7),FALSE)</f>
        <v>70.417143081425877</v>
      </c>
      <c r="C164" s="47">
        <f>VLOOKUP($A164,'[4]Ave FTE cost'!$A$55:$X$78,COLUMN('[4]Ave FTE cost'!$V$7),FALSE)</f>
        <v>74.342628945068739</v>
      </c>
      <c r="D164" s="47">
        <f>VLOOKUP($A164,'[4]Ave FTE cost'!$A$100:$X$122,COLUMN('[4]Ave FTE cost'!$V$7),FALSE)</f>
        <v>77.179442536054694</v>
      </c>
      <c r="E164" s="47">
        <f>VLOOKUP($A164,'[4]Ave FTE cost'!$A$144:$X$166,COLUMN('[4]Ave FTE cost'!$V$7),FALSE)</f>
        <v>79.004110329403758</v>
      </c>
      <c r="F164" s="47">
        <f>VLOOKUP($A164,'[4]Ave FTE cost'!$A$186:$X$214,COLUMN('[4]Ave FTE cost'!$V$7),FALSE)</f>
        <v>81.290295905877741</v>
      </c>
      <c r="G164" s="47">
        <f>VLOOKUP($A164,'[4]Ave FTE cost'!$A$231:$X$259,COLUMN('[4]Ave FTE cost'!$V$7),FALSE)</f>
        <v>81.815473045073176</v>
      </c>
      <c r="H164" s="47">
        <f>VLOOKUP($A164,'[4]Ave FTE cost'!$A$275:$X$303,COLUMN('[4]Ave FTE cost'!$V$7),FALSE)</f>
        <v>82.606406060188263</v>
      </c>
      <c r="I164" s="47">
        <f>VLOOKUP($A164,'[4]Ave FTE cost'!$A$320:$X$347,COLUMN('[4]Ave FTE cost'!$V$7),FALSE)</f>
        <v>84.654433893854616</v>
      </c>
      <c r="J164" s="47">
        <f>VLOOKUP($A164,'[4]Ave FTE cost'!$A$364:$X$391,COLUMN('[4]Ave FTE cost'!$V$7),FALSE)</f>
        <v>87.25632141476477</v>
      </c>
      <c r="K164" s="47">
        <f>VLOOKUP($A164,'[4]Ave FTE cost'!$A$407:$X$434,COLUMN('[4]Ave FTE cost'!$V$406),FALSE)</f>
        <v>89.788418238504889</v>
      </c>
      <c r="L164" s="47">
        <f>VLOOKUP($A164,'[4]Ave FTE cost'!$A$448:$X$477,COLUMN('[4]Ave FTE cost'!$V$406),FALSE)</f>
        <v>91.607308689182958</v>
      </c>
      <c r="M164" s="47">
        <f>VLOOKUP($A164,'[4]Ave FTE cost'!$A$490:$X$519,COLUMN('[4]Ave FTE cost'!$V$406),FALSE)</f>
        <v>95.427380052643926</v>
      </c>
      <c r="O164" s="209" t="s">
        <v>223</v>
      </c>
      <c r="Q164" s="89">
        <f t="shared" si="14"/>
        <v>5.5746167649881606E-2</v>
      </c>
      <c r="R164" s="89">
        <f t="shared" si="14"/>
        <v>3.8158639682786211E-2</v>
      </c>
      <c r="S164" s="89">
        <f t="shared" si="14"/>
        <v>2.3641888738658245E-2</v>
      </c>
      <c r="T164" s="89">
        <f t="shared" si="14"/>
        <v>2.8937552324073357E-2</v>
      </c>
      <c r="U164" s="89">
        <f t="shared" si="14"/>
        <v>6.4605145465765901E-3</v>
      </c>
      <c r="V164" s="89">
        <f t="shared" si="14"/>
        <v>9.6672791304324157E-3</v>
      </c>
      <c r="W164" s="89">
        <f t="shared" si="14"/>
        <v>2.4792603035824312E-2</v>
      </c>
      <c r="X164" s="89">
        <f t="shared" si="14"/>
        <v>3.0735395669559074E-2</v>
      </c>
      <c r="Y164" s="89">
        <f t="shared" si="14"/>
        <v>2.9019064552401108E-2</v>
      </c>
      <c r="Z164" s="89">
        <f t="shared" si="14"/>
        <v>2.0257517465632979E-2</v>
      </c>
      <c r="AA164" s="56">
        <f>VLOOKUP($O164,'[4]Ave FTE cost'!$A$492:$Y$519,COLUMN('[4]Ave FTE cost'!$Y$490),FALSE)</f>
        <v>5.3389907199860476E-2</v>
      </c>
      <c r="AB164" s="89"/>
    </row>
    <row r="165" spans="1:28">
      <c r="A165" s="209" t="s">
        <v>224</v>
      </c>
      <c r="B165" s="47">
        <f>VLOOKUP($A165,'[4]Ave FTE cost'!A$9:X$32,COLUMN('[4]Ave FTE cost'!$V$7),FALSE)</f>
        <v>74.522576373470997</v>
      </c>
      <c r="C165" s="47">
        <f>VLOOKUP($A165,'[4]Ave FTE cost'!$A$55:$X$78,COLUMN('[4]Ave FTE cost'!$V$7),FALSE)</f>
        <v>78.747271321811397</v>
      </c>
      <c r="D165" s="47">
        <f>VLOOKUP($A165,'[4]Ave FTE cost'!$A$100:$X$122,COLUMN('[4]Ave FTE cost'!$V$7),FALSE)</f>
        <v>80.747637121316131</v>
      </c>
      <c r="E165" s="47">
        <f>VLOOKUP($A165,'[4]Ave FTE cost'!$A$144:$X$166,COLUMN('[4]Ave FTE cost'!$V$7),FALSE)</f>
        <v>81.664293870584288</v>
      </c>
      <c r="F165" s="47">
        <f>VLOOKUP($A165,'[4]Ave FTE cost'!$A$186:$X$214,COLUMN('[4]Ave FTE cost'!$V$7),FALSE)</f>
        <v>84.651237203374535</v>
      </c>
      <c r="G165" s="47">
        <f>VLOOKUP($A165,'[4]Ave FTE cost'!$A$231:$X$259,COLUMN('[4]Ave FTE cost'!$V$7),FALSE)</f>
        <v>86.122695375203037</v>
      </c>
      <c r="H165" s="47">
        <f>VLOOKUP($A165,'[4]Ave FTE cost'!$A$275:$X$303,COLUMN('[4]Ave FTE cost'!$V$7),FALSE)</f>
        <v>88.123537637426338</v>
      </c>
      <c r="I165" s="47">
        <f>VLOOKUP($A165,'[4]Ave FTE cost'!$A$320:$X$347,COLUMN('[4]Ave FTE cost'!$V$7),FALSE)</f>
        <v>87.857598300745366</v>
      </c>
      <c r="J165" s="47">
        <f>VLOOKUP($A165,'[4]Ave FTE cost'!$A$364:$X$391,COLUMN('[4]Ave FTE cost'!$V$7),FALSE)</f>
        <v>90.573860078535375</v>
      </c>
      <c r="K165" s="47">
        <f>VLOOKUP($A165,'[4]Ave FTE cost'!$A$407:$X$434,COLUMN('[4]Ave FTE cost'!$V$406),FALSE)</f>
        <v>93.915354050714598</v>
      </c>
      <c r="L165" s="47">
        <f>VLOOKUP($A165,'[4]Ave FTE cost'!$A$448:$X$477,COLUMN('[4]Ave FTE cost'!$V$406),FALSE)</f>
        <v>94.232723783827083</v>
      </c>
      <c r="M165" s="47">
        <f>VLOOKUP($A165,'[4]Ave FTE cost'!$A$490:$X$519,COLUMN('[4]Ave FTE cost'!$V$406),FALSE)</f>
        <v>97.372214444497118</v>
      </c>
      <c r="O165" s="209" t="s">
        <v>224</v>
      </c>
      <c r="Q165" s="89">
        <f t="shared" si="14"/>
        <v>5.6690135445241152E-2</v>
      </c>
      <c r="R165" s="89">
        <f t="shared" si="14"/>
        <v>2.5402350658348061E-2</v>
      </c>
      <c r="S165" s="89">
        <f t="shared" si="14"/>
        <v>1.1352118550428392E-2</v>
      </c>
      <c r="T165" s="89">
        <f t="shared" si="14"/>
        <v>3.6575879019094204E-2</v>
      </c>
      <c r="U165" s="89">
        <f t="shared" si="14"/>
        <v>1.7382594991415479E-2</v>
      </c>
      <c r="V165" s="89">
        <f t="shared" si="14"/>
        <v>2.3232462169308743E-2</v>
      </c>
      <c r="W165" s="89">
        <f t="shared" si="14"/>
        <v>-3.0178014161794664E-3</v>
      </c>
      <c r="X165" s="89">
        <f t="shared" si="14"/>
        <v>3.0916640453702904E-2</v>
      </c>
      <c r="Y165" s="89">
        <f t="shared" si="14"/>
        <v>3.6892476143578934E-2</v>
      </c>
      <c r="Z165" s="89">
        <f t="shared" si="14"/>
        <v>3.379316793514997E-3</v>
      </c>
      <c r="AA165" s="56">
        <f>VLOOKUP($O165,'[4]Ave FTE cost'!$A$492:$Y$519,COLUMN('[4]Ave FTE cost'!$Y$490),FALSE)</f>
        <v>2.821169215565833E-2</v>
      </c>
      <c r="AB165" s="89"/>
    </row>
    <row r="166" spans="1:28">
      <c r="A166" s="209" t="s">
        <v>225</v>
      </c>
      <c r="B166" s="47">
        <f>VLOOKUP($A166,'[4]Ave FTE cost'!A$9:X$32,COLUMN('[4]Ave FTE cost'!$V$7),FALSE)</f>
        <v>78.817156191451772</v>
      </c>
      <c r="C166" s="47">
        <f>VLOOKUP($A166,'[4]Ave FTE cost'!$A$55:$X$78,COLUMN('[4]Ave FTE cost'!$V$7),FALSE)</f>
        <v>81.20327885755529</v>
      </c>
      <c r="D166" s="47">
        <f>VLOOKUP($A166,'[4]Ave FTE cost'!$A$100:$X$122,COLUMN('[4]Ave FTE cost'!$V$7),FALSE)</f>
        <v>80.829118411723002</v>
      </c>
      <c r="E166" s="47">
        <f>VLOOKUP($A166,'[4]Ave FTE cost'!$A$144:$X$166,COLUMN('[4]Ave FTE cost'!$V$7),FALSE)</f>
        <v>83.757329516598162</v>
      </c>
      <c r="F166" s="47">
        <f>VLOOKUP($A166,'[4]Ave FTE cost'!$A$186:$X$214,COLUMN('[4]Ave FTE cost'!$V$7),FALSE)</f>
        <v>85.299045818439637</v>
      </c>
      <c r="G166" s="47">
        <f>VLOOKUP($A166,'[4]Ave FTE cost'!$A$231:$X$259,COLUMN('[4]Ave FTE cost'!$V$7),FALSE)</f>
        <v>86.338716938660667</v>
      </c>
      <c r="H166" s="47">
        <f>VLOOKUP($A166,'[4]Ave FTE cost'!$A$275:$X$303,COLUMN('[4]Ave FTE cost'!$V$7),FALSE)</f>
        <v>88.402832547446849</v>
      </c>
      <c r="I166" s="47">
        <f>VLOOKUP($A166,'[4]Ave FTE cost'!$A$320:$X$347,COLUMN('[4]Ave FTE cost'!$V$7),FALSE)</f>
        <v>91.039780976479861</v>
      </c>
      <c r="J166" s="47">
        <f>VLOOKUP($A166,'[4]Ave FTE cost'!$A$364:$X$391,COLUMN('[4]Ave FTE cost'!$V$7),FALSE)</f>
        <v>92.274318085874199</v>
      </c>
      <c r="K166" s="47">
        <f>VLOOKUP($A166,'[4]Ave FTE cost'!$A$407:$X$434,COLUMN('[4]Ave FTE cost'!$V$406),FALSE)</f>
        <v>94.624372712146425</v>
      </c>
      <c r="L166" s="47">
        <f>VLOOKUP($A166,'[4]Ave FTE cost'!$A$448:$X$477,COLUMN('[4]Ave FTE cost'!$V$406),FALSE)</f>
        <v>95.848768378842848</v>
      </c>
      <c r="M166" s="47">
        <f>VLOOKUP($A166,'[4]Ave FTE cost'!$A$490:$X$519,COLUMN('[4]Ave FTE cost'!$V$406),FALSE)</f>
        <v>99.48126646420242</v>
      </c>
      <c r="O166" s="209" t="s">
        <v>225</v>
      </c>
      <c r="Q166" s="89">
        <f t="shared" si="14"/>
        <v>3.0274153260585468E-2</v>
      </c>
      <c r="R166" s="89">
        <f t="shared" si="14"/>
        <v>-4.6077012048815202E-3</v>
      </c>
      <c r="S166" s="89">
        <f t="shared" si="14"/>
        <v>3.6227181026020849E-2</v>
      </c>
      <c r="T166" s="89">
        <f t="shared" si="14"/>
        <v>1.8406941944536959E-2</v>
      </c>
      <c r="U166" s="89">
        <f t="shared" si="14"/>
        <v>1.2188543379887173E-2</v>
      </c>
      <c r="V166" s="89">
        <f t="shared" si="14"/>
        <v>2.3907184192378361E-2</v>
      </c>
      <c r="W166" s="89">
        <f t="shared" si="14"/>
        <v>2.9828777574720133E-2</v>
      </c>
      <c r="X166" s="89">
        <f t="shared" si="14"/>
        <v>1.3560413877898858E-2</v>
      </c>
      <c r="Y166" s="89">
        <f t="shared" si="14"/>
        <v>2.546813322516428E-2</v>
      </c>
      <c r="Z166" s="89">
        <f t="shared" si="14"/>
        <v>1.293953800276304E-2</v>
      </c>
      <c r="AA166" s="56">
        <f>VLOOKUP($O166,'[4]Ave FTE cost'!$A$492:$Y$519,COLUMN('[4]Ave FTE cost'!$Y$490),FALSE)</f>
        <v>5.4561199062743926E-2</v>
      </c>
      <c r="AB166" s="89"/>
    </row>
    <row r="167" spans="1:28">
      <c r="A167" s="209" t="s">
        <v>226</v>
      </c>
      <c r="B167" s="47">
        <f>VLOOKUP($A167,'[4]Ave FTE cost'!A$9:X$32,COLUMN('[4]Ave FTE cost'!$V$7),FALSE)</f>
        <v>72.335483910471339</v>
      </c>
      <c r="C167" s="47">
        <f>VLOOKUP($A167,'[4]Ave FTE cost'!$A$55:$X$78,COLUMN('[4]Ave FTE cost'!$V$7),FALSE)</f>
        <v>72.584829111902636</v>
      </c>
      <c r="D167" s="47">
        <f>VLOOKUP($A167,'[4]Ave FTE cost'!$A$100:$X$122,COLUMN('[4]Ave FTE cost'!$V$7),FALSE)</f>
        <v>75.094800356632646</v>
      </c>
      <c r="E167" s="47">
        <f>VLOOKUP($A167,'[4]Ave FTE cost'!$A$144:$X$166,COLUMN('[4]Ave FTE cost'!$V$7),FALSE)</f>
        <v>76.915330182246379</v>
      </c>
      <c r="F167" s="47">
        <f>VLOOKUP($A167,'[4]Ave FTE cost'!$A$186:$X$214,COLUMN('[4]Ave FTE cost'!$V$7),FALSE)</f>
        <v>79.056248020878982</v>
      </c>
      <c r="G167" s="47">
        <f>VLOOKUP($A167,'[4]Ave FTE cost'!$A$231:$X$259,COLUMN('[4]Ave FTE cost'!$V$7),FALSE)</f>
        <v>80.760489403070721</v>
      </c>
      <c r="H167" s="47">
        <f>VLOOKUP($A167,'[4]Ave FTE cost'!$A$275:$X$303,COLUMN('[4]Ave FTE cost'!$V$7),FALSE)</f>
        <v>82.419901740060027</v>
      </c>
      <c r="I167" s="47">
        <f>VLOOKUP($A167,'[4]Ave FTE cost'!$A$320:$X$347,COLUMN('[4]Ave FTE cost'!$V$7),FALSE)</f>
        <v>84.02033602690922</v>
      </c>
      <c r="J167" s="47">
        <f>VLOOKUP($A167,'[4]Ave FTE cost'!$A$364:$X$391,COLUMN('[4]Ave FTE cost'!$V$7),FALSE)</f>
        <v>86.571273599900238</v>
      </c>
      <c r="K167" s="47">
        <f>VLOOKUP($A167,'[4]Ave FTE cost'!$A$407:$X$434,COLUMN('[4]Ave FTE cost'!$V$406),FALSE)</f>
        <v>87.715457765510166</v>
      </c>
      <c r="L167" s="47">
        <f>VLOOKUP($A167,'[4]Ave FTE cost'!$A$448:$X$477,COLUMN('[4]Ave FTE cost'!$V$406),FALSE)</f>
        <v>89.232585188199295</v>
      </c>
      <c r="M167" s="47">
        <f>VLOOKUP($A167,'[4]Ave FTE cost'!$A$490:$X$519,COLUMN('[4]Ave FTE cost'!$V$406),FALSE)</f>
        <v>93.02501735028396</v>
      </c>
      <c r="O167" s="209" t="s">
        <v>226</v>
      </c>
      <c r="Q167" s="89">
        <f t="shared" si="14"/>
        <v>3.4470661969983052E-3</v>
      </c>
      <c r="R167" s="89">
        <f t="shared" si="14"/>
        <v>3.457983266531417E-2</v>
      </c>
      <c r="S167" s="89">
        <f t="shared" si="14"/>
        <v>2.424308763014027E-2</v>
      </c>
      <c r="T167" s="89">
        <f t="shared" si="14"/>
        <v>2.7834735072446826E-2</v>
      </c>
      <c r="U167" s="89">
        <f t="shared" si="14"/>
        <v>2.1557326901494811E-2</v>
      </c>
      <c r="V167" s="89">
        <f t="shared" si="14"/>
        <v>2.0547328888849137E-2</v>
      </c>
      <c r="W167" s="89">
        <f t="shared" si="14"/>
        <v>1.9418056234727477E-2</v>
      </c>
      <c r="X167" s="89">
        <f t="shared" si="14"/>
        <v>3.0360954188210165E-2</v>
      </c>
      <c r="Y167" s="89">
        <f t="shared" si="14"/>
        <v>1.3216672436839882E-2</v>
      </c>
      <c r="Z167" s="89">
        <f t="shared" si="14"/>
        <v>1.7296009863448036E-2</v>
      </c>
      <c r="AA167" s="56">
        <f>VLOOKUP($O167,'[4]Ave FTE cost'!$A$492:$Y$519,COLUMN('[4]Ave FTE cost'!$Y$490),FALSE)</f>
        <v>5.3441182561771772E-2</v>
      </c>
      <c r="AB167" s="89"/>
    </row>
    <row r="168" spans="1:28">
      <c r="A168" s="209" t="s">
        <v>227</v>
      </c>
      <c r="B168" s="47">
        <f>VLOOKUP($A168,'[4]Ave FTE cost'!A$9:X$32,COLUMN('[4]Ave FTE cost'!$V$7),FALSE)</f>
        <v>72.529780448514131</v>
      </c>
      <c r="C168" s="47">
        <f>VLOOKUP($A168,'[4]Ave FTE cost'!$A$55:$X$78,COLUMN('[4]Ave FTE cost'!$V$7),FALSE)</f>
        <v>76.340536327521193</v>
      </c>
      <c r="D168" s="47">
        <f>VLOOKUP($A168,'[4]Ave FTE cost'!$A$100:$X$122,COLUMN('[4]Ave FTE cost'!$V$7),FALSE)</f>
        <v>82.191071656058227</v>
      </c>
      <c r="E168" s="47">
        <f>VLOOKUP($A168,'[4]Ave FTE cost'!$A$144:$X$166,COLUMN('[4]Ave FTE cost'!$V$7),FALSE)</f>
        <v>82.646273011625553</v>
      </c>
      <c r="F168" s="47">
        <f>VLOOKUP($A168,'[4]Ave FTE cost'!$A$186:$X$214,COLUMN('[4]Ave FTE cost'!$V$7),FALSE)</f>
        <v>82.758602065602943</v>
      </c>
      <c r="G168" s="47">
        <f>VLOOKUP($A168,'[4]Ave FTE cost'!$A$231:$X$259,COLUMN('[4]Ave FTE cost'!$V$7),FALSE)</f>
        <v>83.778259753093579</v>
      </c>
      <c r="H168" s="47">
        <f>VLOOKUP($A168,'[4]Ave FTE cost'!$A$275:$X$303,COLUMN('[4]Ave FTE cost'!$V$7),FALSE)</f>
        <v>86.435424109792223</v>
      </c>
      <c r="I168" s="47">
        <f>VLOOKUP($A168,'[4]Ave FTE cost'!$A$320:$X$347,COLUMN('[4]Ave FTE cost'!$V$7),FALSE)</f>
        <v>87.507247788041482</v>
      </c>
      <c r="J168" s="47">
        <f>VLOOKUP($A168,'[4]Ave FTE cost'!$A$364:$X$391,COLUMN('[4]Ave FTE cost'!$V$7),FALSE)</f>
        <v>89.671443614228409</v>
      </c>
      <c r="K168" s="47">
        <f>VLOOKUP($A168,'[4]Ave FTE cost'!$A$407:$X$434,COLUMN('[4]Ave FTE cost'!$V$406),FALSE)</f>
        <v>92.325935856760395</v>
      </c>
      <c r="L168" s="47">
        <f>VLOOKUP($A168,'[4]Ave FTE cost'!$A$448:$X$477,COLUMN('[4]Ave FTE cost'!$V$406),FALSE)</f>
        <v>93.641649951908022</v>
      </c>
      <c r="M168" s="47">
        <f>VLOOKUP($A168,'[4]Ave FTE cost'!$A$490:$X$519,COLUMN('[4]Ave FTE cost'!$V$406),FALSE)</f>
        <v>97.310744579987542</v>
      </c>
      <c r="O168" s="209" t="s">
        <v>227</v>
      </c>
      <c r="Q168" s="89">
        <f t="shared" si="14"/>
        <v>5.2540568238892638E-2</v>
      </c>
      <c r="R168" s="89">
        <f t="shared" si="14"/>
        <v>7.6637335942161711E-2</v>
      </c>
      <c r="S168" s="89">
        <f t="shared" si="14"/>
        <v>5.5383309451444429E-3</v>
      </c>
      <c r="T168" s="89">
        <f t="shared" si="14"/>
        <v>1.3591545012754391E-3</v>
      </c>
      <c r="U168" s="89">
        <f t="shared" si="14"/>
        <v>1.232086649654085E-2</v>
      </c>
      <c r="V168" s="89">
        <f t="shared" si="14"/>
        <v>3.1716633462304911E-2</v>
      </c>
      <c r="W168" s="89">
        <f t="shared" si="14"/>
        <v>1.2400282514814842E-2</v>
      </c>
      <c r="X168" s="89">
        <f t="shared" si="14"/>
        <v>2.473161801898982E-2</v>
      </c>
      <c r="Y168" s="89">
        <f t="shared" si="14"/>
        <v>2.960242565015192E-2</v>
      </c>
      <c r="Z168" s="89">
        <f t="shared" si="14"/>
        <v>1.4250752867416283E-2</v>
      </c>
      <c r="AA168" s="56">
        <f>VLOOKUP($O168,'[4]Ave FTE cost'!$A$492:$Y$519,COLUMN('[4]Ave FTE cost'!$Y$490),FALSE)</f>
        <v>4.218778603734763E-2</v>
      </c>
      <c r="AB168" s="89"/>
    </row>
    <row r="169" spans="1:28">
      <c r="A169" s="209" t="s">
        <v>228</v>
      </c>
      <c r="B169" s="47">
        <f>VLOOKUP($A169,'[4]Ave FTE cost'!A$9:X$32,COLUMN('[4]Ave FTE cost'!$V$7),FALSE)</f>
        <v>75.870718093974375</v>
      </c>
      <c r="C169" s="47">
        <f>VLOOKUP($A169,'[4]Ave FTE cost'!$A$55:$X$78,COLUMN('[4]Ave FTE cost'!$V$7),FALSE)</f>
        <v>79.82938570002878</v>
      </c>
      <c r="D169" s="47">
        <f>VLOOKUP($A169,'[4]Ave FTE cost'!$A$100:$X$122,COLUMN('[4]Ave FTE cost'!$V$7),FALSE)</f>
        <v>81.237290228922177</v>
      </c>
      <c r="E169" s="47">
        <f>VLOOKUP($A169,'[4]Ave FTE cost'!$A$144:$X$166,COLUMN('[4]Ave FTE cost'!$V$7),FALSE)</f>
        <v>83.109055141546349</v>
      </c>
      <c r="F169" s="47">
        <f>VLOOKUP($A169,'[4]Ave FTE cost'!$A$186:$X$214,COLUMN('[4]Ave FTE cost'!$V$7),FALSE)</f>
        <v>85.303947047786892</v>
      </c>
      <c r="G169" s="47">
        <f>VLOOKUP($A169,'[4]Ave FTE cost'!$A$231:$X$259,COLUMN('[4]Ave FTE cost'!$V$7),FALSE)</f>
        <v>87.293001912045895</v>
      </c>
      <c r="H169" s="47">
        <f>VLOOKUP($A169,'[4]Ave FTE cost'!$A$275:$X$303,COLUMN('[4]Ave FTE cost'!$V$7),FALSE)</f>
        <v>88.388413135750994</v>
      </c>
      <c r="I169" s="47">
        <f>VLOOKUP($A169,'[4]Ave FTE cost'!$A$320:$X$347,COLUMN('[4]Ave FTE cost'!$V$7),FALSE)</f>
        <v>89.851146689744695</v>
      </c>
      <c r="J169" s="47">
        <f>VLOOKUP($A169,'[4]Ave FTE cost'!$A$364:$X$391,COLUMN('[4]Ave FTE cost'!$V$7),FALSE)</f>
        <v>92.158373914884606</v>
      </c>
      <c r="K169" s="47">
        <f>VLOOKUP($A169,'[4]Ave FTE cost'!$A$407:$X$434,COLUMN('[4]Ave FTE cost'!$V$406),FALSE)</f>
        <v>92.30509405464781</v>
      </c>
      <c r="L169" s="47">
        <f>VLOOKUP($A169,'[4]Ave FTE cost'!$A$448:$X$477,COLUMN('[4]Ave FTE cost'!$V$406),FALSE)</f>
        <v>95.650026274303727</v>
      </c>
      <c r="M169" s="47">
        <f>VLOOKUP($A169,'[4]Ave FTE cost'!$A$490:$X$519,COLUMN('[4]Ave FTE cost'!$V$406),FALSE)</f>
        <v>100.05255573450876</v>
      </c>
      <c r="O169" s="209" t="s">
        <v>228</v>
      </c>
      <c r="Q169" s="89">
        <f t="shared" si="14"/>
        <v>5.2176487919241232E-2</v>
      </c>
      <c r="R169" s="89">
        <f t="shared" si="14"/>
        <v>1.7636419428101568E-2</v>
      </c>
      <c r="S169" s="89">
        <f t="shared" si="14"/>
        <v>2.3040710828114097E-2</v>
      </c>
      <c r="T169" s="89">
        <f t="shared" si="14"/>
        <v>2.6409780528756199E-2</v>
      </c>
      <c r="U169" s="89">
        <f t="shared" si="14"/>
        <v>2.3317266470034959E-2</v>
      </c>
      <c r="V169" s="89">
        <f t="shared" si="14"/>
        <v>1.2548671711494208E-2</v>
      </c>
      <c r="W169" s="89">
        <f t="shared" si="14"/>
        <v>1.6548928780372618E-2</v>
      </c>
      <c r="X169" s="89">
        <f t="shared" si="14"/>
        <v>2.5678328103109882E-2</v>
      </c>
      <c r="Y169" s="89">
        <f t="shared" si="14"/>
        <v>1.5920434956753216E-3</v>
      </c>
      <c r="Z169" s="89">
        <f t="shared" si="14"/>
        <v>3.6237785724757554E-2</v>
      </c>
      <c r="AA169" s="56">
        <f>VLOOKUP($O169,'[4]Ave FTE cost'!$A$492:$Y$519,COLUMN('[4]Ave FTE cost'!$Y$490),FALSE)</f>
        <v>4.7312857692286991E-2</v>
      </c>
      <c r="AB169" s="89"/>
    </row>
    <row r="170" spans="1:28">
      <c r="A170" s="209" t="s">
        <v>229</v>
      </c>
      <c r="B170" s="47">
        <f>VLOOKUP($A170,'[4]Ave FTE cost'!A$9:X$32,COLUMN('[4]Ave FTE cost'!$V$7),FALSE)</f>
        <v>72.70699616372751</v>
      </c>
      <c r="C170" s="47">
        <f>VLOOKUP($A170,'[4]Ave FTE cost'!$A$55:$X$78,COLUMN('[4]Ave FTE cost'!$V$7),FALSE)</f>
        <v>75.344126550351106</v>
      </c>
      <c r="D170" s="47">
        <f>VLOOKUP($A170,'[4]Ave FTE cost'!$A$100:$X$122,COLUMN('[4]Ave FTE cost'!$V$7),FALSE)</f>
        <v>81.154068660788511</v>
      </c>
      <c r="E170" s="47">
        <f>VLOOKUP($A170,'[4]Ave FTE cost'!$A$144:$X$166,COLUMN('[4]Ave FTE cost'!$V$7),FALSE)</f>
        <v>81.035002485265849</v>
      </c>
      <c r="F170" s="47">
        <f>VLOOKUP($A170,'[4]Ave FTE cost'!$A$186:$X$214,COLUMN('[4]Ave FTE cost'!$V$7),FALSE)</f>
        <v>84.293405553042788</v>
      </c>
      <c r="G170" s="47">
        <f>VLOOKUP($A170,'[4]Ave FTE cost'!$A$231:$X$259,COLUMN('[4]Ave FTE cost'!$V$7),FALSE)</f>
        <v>85.470827654580106</v>
      </c>
      <c r="H170" s="47">
        <f>VLOOKUP($A170,'[4]Ave FTE cost'!$A$275:$X$303,COLUMN('[4]Ave FTE cost'!$V$7),FALSE)</f>
        <v>87.522482100093086</v>
      </c>
      <c r="I170" s="47">
        <f>VLOOKUP($A170,'[4]Ave FTE cost'!$A$320:$X$347,COLUMN('[4]Ave FTE cost'!$V$7),FALSE)</f>
        <v>87.711991017828538</v>
      </c>
      <c r="J170" s="47">
        <f>VLOOKUP($A170,'[4]Ave FTE cost'!$A$364:$X$391,COLUMN('[4]Ave FTE cost'!$V$7),FALSE)</f>
        <v>90.305047694382651</v>
      </c>
      <c r="K170" s="47">
        <f>VLOOKUP($A170,'[4]Ave FTE cost'!$A$407:$X$434,COLUMN('[4]Ave FTE cost'!$V$406),FALSE)</f>
        <v>92.435547810157118</v>
      </c>
      <c r="L170" s="47">
        <f>VLOOKUP($A170,'[4]Ave FTE cost'!$A$448:$X$477,COLUMN('[4]Ave FTE cost'!$V$406),FALSE)</f>
        <v>95.93940602860286</v>
      </c>
      <c r="M170" s="47">
        <f>VLOOKUP($A170,'[4]Ave FTE cost'!$A$490:$X$519,COLUMN('[4]Ave FTE cost'!$V$406),FALSE)</f>
        <v>98.09803979876385</v>
      </c>
      <c r="O170" s="209" t="s">
        <v>229</v>
      </c>
      <c r="Q170" s="89">
        <f t="shared" si="14"/>
        <v>3.627065517443584E-2</v>
      </c>
      <c r="R170" s="89">
        <f t="shared" si="14"/>
        <v>7.7112077297156301E-2</v>
      </c>
      <c r="S170" s="89">
        <f t="shared" si="14"/>
        <v>-1.467162121228216E-3</v>
      </c>
      <c r="T170" s="89">
        <f t="shared" si="14"/>
        <v>4.020982251921823E-2</v>
      </c>
      <c r="U170" s="89">
        <f t="shared" si="14"/>
        <v>1.3968140138749252E-2</v>
      </c>
      <c r="V170" s="89">
        <f t="shared" si="14"/>
        <v>2.400414857107136E-2</v>
      </c>
      <c r="W170" s="89">
        <f t="shared" si="14"/>
        <v>2.1652598645307553E-3</v>
      </c>
      <c r="X170" s="89">
        <f t="shared" si="14"/>
        <v>2.9563308807196487E-2</v>
      </c>
      <c r="Y170" s="89">
        <f t="shared" si="14"/>
        <v>2.3592259460231579E-2</v>
      </c>
      <c r="Z170" s="89">
        <f t="shared" si="14"/>
        <v>3.7905960438963548E-2</v>
      </c>
      <c r="AA170" s="56">
        <f>VLOOKUP($O170,'[4]Ave FTE cost'!$A$492:$Y$519,COLUMN('[4]Ave FTE cost'!$Y$490),FALSE)</f>
        <v>4.3984997599768372E-2</v>
      </c>
      <c r="AB170" s="89"/>
    </row>
    <row r="171" spans="1:28">
      <c r="A171" s="209" t="s">
        <v>230</v>
      </c>
      <c r="B171" s="47">
        <f>VLOOKUP($A171,'[4]Ave FTE cost'!A$9:X$32,COLUMN('[4]Ave FTE cost'!$V$7),FALSE)</f>
        <v>70.84557089661422</v>
      </c>
      <c r="C171" s="47">
        <f>VLOOKUP($A171,'[4]Ave FTE cost'!$A$55:$X$78,COLUMN('[4]Ave FTE cost'!$V$7),FALSE)</f>
        <v>76.302483014643698</v>
      </c>
      <c r="D171" s="47">
        <f>VLOOKUP($A171,'[4]Ave FTE cost'!$A$100:$X$122,COLUMN('[4]Ave FTE cost'!$V$7),FALSE)</f>
        <v>77.791782362125204</v>
      </c>
      <c r="E171" s="47">
        <f>VLOOKUP($A171,'[4]Ave FTE cost'!$A$144:$X$166,COLUMN('[4]Ave FTE cost'!$V$7),FALSE)</f>
        <v>79.536085904916675</v>
      </c>
      <c r="F171" s="47">
        <f>VLOOKUP($A171,'[4]Ave FTE cost'!$A$186:$X$214,COLUMN('[4]Ave FTE cost'!$V$7),FALSE)</f>
        <v>82.139545884216886</v>
      </c>
      <c r="G171" s="47">
        <f>VLOOKUP($A171,'[4]Ave FTE cost'!$A$231:$X$259,COLUMN('[4]Ave FTE cost'!$V$7),FALSE)</f>
        <v>83.111018079042907</v>
      </c>
      <c r="H171" s="47">
        <f>VLOOKUP($A171,'[4]Ave FTE cost'!$A$275:$X$303,COLUMN('[4]Ave FTE cost'!$V$7),FALSE)</f>
        <v>86.020204772007133</v>
      </c>
      <c r="I171" s="47">
        <f>VLOOKUP($A171,'[4]Ave FTE cost'!$A$320:$X$347,COLUMN('[4]Ave FTE cost'!$V$7),FALSE)</f>
        <v>85.829999421261149</v>
      </c>
      <c r="J171" s="47">
        <f>VLOOKUP($A171,'[4]Ave FTE cost'!$A$364:$X$391,COLUMN('[4]Ave FTE cost'!$V$7),FALSE)</f>
        <v>89.291986093548772</v>
      </c>
      <c r="K171" s="47">
        <f>VLOOKUP($A171,'[4]Ave FTE cost'!$A$407:$X$434,COLUMN('[4]Ave FTE cost'!$V$406),FALSE)</f>
        <v>90.824324282327765</v>
      </c>
      <c r="L171" s="47">
        <f>VLOOKUP($A171,'[4]Ave FTE cost'!$A$448:$X$477,COLUMN('[4]Ave FTE cost'!$V$406),FALSE)</f>
        <v>93.867407768187661</v>
      </c>
      <c r="M171" s="47">
        <f>VLOOKUP($A171,'[4]Ave FTE cost'!$A$490:$X$519,COLUMN('[4]Ave FTE cost'!$V$406),FALSE)</f>
        <v>97.2260601522689</v>
      </c>
      <c r="O171" s="209" t="s">
        <v>230</v>
      </c>
      <c r="Q171" s="89">
        <f t="shared" si="14"/>
        <v>7.7025451964990443E-2</v>
      </c>
      <c r="R171" s="89">
        <f t="shared" si="14"/>
        <v>1.9518360197998907E-2</v>
      </c>
      <c r="S171" s="89">
        <f t="shared" si="14"/>
        <v>2.2422722424222608E-2</v>
      </c>
      <c r="T171" s="89">
        <f t="shared" si="14"/>
        <v>3.2733066377098163E-2</v>
      </c>
      <c r="U171" s="89">
        <f t="shared" si="14"/>
        <v>1.1827094785688219E-2</v>
      </c>
      <c r="V171" s="89">
        <f t="shared" si="14"/>
        <v>3.5003622386112987E-2</v>
      </c>
      <c r="W171" s="89">
        <f t="shared" si="14"/>
        <v>-2.2111706342726745E-3</v>
      </c>
      <c r="X171" s="89">
        <f t="shared" si="14"/>
        <v>4.0335392003160608E-2</v>
      </c>
      <c r="Y171" s="89">
        <f t="shared" si="14"/>
        <v>1.7160982254035728E-2</v>
      </c>
      <c r="Z171" s="89">
        <f t="shared" si="14"/>
        <v>3.3505159657455375E-2</v>
      </c>
      <c r="AA171" s="56">
        <f>VLOOKUP($O171,'[4]Ave FTE cost'!$A$492:$Y$519,COLUMN('[4]Ave FTE cost'!$Y$490),FALSE)</f>
        <v>4.6476889856948089E-2</v>
      </c>
      <c r="AB171" s="89"/>
    </row>
    <row r="172" spans="1:28">
      <c r="A172" s="209" t="s">
        <v>231</v>
      </c>
      <c r="B172" s="47">
        <f>VLOOKUP($A172,'[4]Ave FTE cost'!A$9:X$32,COLUMN('[4]Ave FTE cost'!$V$7),FALSE)</f>
        <v>73.351740931977602</v>
      </c>
      <c r="C172" s="47">
        <f>VLOOKUP($A172,'[4]Ave FTE cost'!$A$55:$X$78,COLUMN('[4]Ave FTE cost'!$V$7),FALSE)</f>
        <v>75.206514987917132</v>
      </c>
      <c r="D172" s="47">
        <f>VLOOKUP($A172,'[4]Ave FTE cost'!$A$100:$X$122,COLUMN('[4]Ave FTE cost'!$V$7),FALSE)</f>
        <v>80.570610453203926</v>
      </c>
      <c r="E172" s="47">
        <f>VLOOKUP($A172,'[4]Ave FTE cost'!$A$144:$X$166,COLUMN('[4]Ave FTE cost'!$V$7),FALSE)</f>
        <v>80.477225431034157</v>
      </c>
      <c r="F172" s="47">
        <f>VLOOKUP($A172,'[4]Ave FTE cost'!$A$186:$X$214,COLUMN('[4]Ave FTE cost'!$V$7),FALSE)</f>
        <v>83.331845613925182</v>
      </c>
      <c r="G172" s="47">
        <f>VLOOKUP($A172,'[4]Ave FTE cost'!$A$231:$X$259,COLUMN('[4]Ave FTE cost'!$V$7),FALSE)</f>
        <v>85.036307800729816</v>
      </c>
      <c r="H172" s="47">
        <f>VLOOKUP($A172,'[4]Ave FTE cost'!$A$275:$X$303,COLUMN('[4]Ave FTE cost'!$V$7),FALSE)</f>
        <v>87.791148064962272</v>
      </c>
      <c r="I172" s="47">
        <f>VLOOKUP($A172,'[4]Ave FTE cost'!$A$320:$X$347,COLUMN('[4]Ave FTE cost'!$V$7),FALSE)</f>
        <v>89.020788394644896</v>
      </c>
      <c r="J172" s="47">
        <f>VLOOKUP($A172,'[4]Ave FTE cost'!$A$364:$X$391,COLUMN('[4]Ave FTE cost'!$V$7),FALSE)</f>
        <v>90.462552108876778</v>
      </c>
      <c r="K172" s="47">
        <f>VLOOKUP($A172,'[4]Ave FTE cost'!$A$407:$X$434,COLUMN('[4]Ave FTE cost'!$V$406),FALSE)</f>
        <v>92.66541347527432</v>
      </c>
      <c r="L172" s="47">
        <f>VLOOKUP($A172,'[4]Ave FTE cost'!$A$448:$X$477,COLUMN('[4]Ave FTE cost'!$V$406),FALSE)</f>
        <v>95.6395328012525</v>
      </c>
      <c r="M172" s="47">
        <f>VLOOKUP($A172,'[4]Ave FTE cost'!$A$490:$X$519,COLUMN('[4]Ave FTE cost'!$V$406),FALSE)</f>
        <v>101.20893693835524</v>
      </c>
      <c r="O172" s="209" t="s">
        <v>231</v>
      </c>
      <c r="Q172" s="89">
        <f t="shared" si="14"/>
        <v>2.5286026376109438E-2</v>
      </c>
      <c r="R172" s="89">
        <f t="shared" si="14"/>
        <v>7.1324877454414848E-2</v>
      </c>
      <c r="S172" s="89">
        <f t="shared" si="14"/>
        <v>-1.1590457319918812E-3</v>
      </c>
      <c r="T172" s="89">
        <f t="shared" si="14"/>
        <v>3.5471155567326607E-2</v>
      </c>
      <c r="U172" s="89">
        <f t="shared" si="14"/>
        <v>2.045391139782704E-2</v>
      </c>
      <c r="V172" s="89">
        <f t="shared" si="14"/>
        <v>3.2396047470546696E-2</v>
      </c>
      <c r="W172" s="89">
        <f t="shared" si="14"/>
        <v>1.40064272627205E-2</v>
      </c>
      <c r="X172" s="89">
        <f t="shared" si="14"/>
        <v>1.6195809318608756E-2</v>
      </c>
      <c r="Y172" s="89">
        <f t="shared" si="14"/>
        <v>2.4351085781288528E-2</v>
      </c>
      <c r="Z172" s="89">
        <f t="shared" si="14"/>
        <v>3.2095246915093689E-2</v>
      </c>
      <c r="AA172" s="56">
        <f>VLOOKUP($O172,'[4]Ave FTE cost'!$A$492:$Y$519,COLUMN('[4]Ave FTE cost'!$Y$490),FALSE)</f>
        <v>5.999762477519055E-2</v>
      </c>
      <c r="AB172" s="89"/>
    </row>
    <row r="173" spans="1:28">
      <c r="A173" s="209" t="s">
        <v>232</v>
      </c>
      <c r="B173" s="47">
        <f>VLOOKUP($A173,'[4]Ave FTE cost'!A$9:X$32,COLUMN('[4]Ave FTE cost'!$V$7),FALSE)</f>
        <v>77.617916055152349</v>
      </c>
      <c r="C173" s="47">
        <f>VLOOKUP($A173,'[4]Ave FTE cost'!$A$55:$X$78,COLUMN('[4]Ave FTE cost'!$V$7),FALSE)</f>
        <v>78.537441195614008</v>
      </c>
      <c r="D173" s="47"/>
      <c r="E173" s="47"/>
      <c r="F173" s="47"/>
      <c r="G173" s="47"/>
      <c r="H173" s="47"/>
      <c r="I173" s="47"/>
      <c r="J173" s="47"/>
      <c r="K173" s="47"/>
      <c r="L173" s="47"/>
      <c r="M173" s="47"/>
      <c r="O173" s="209" t="s">
        <v>232</v>
      </c>
      <c r="Q173" s="89">
        <f t="shared" si="14"/>
        <v>1.184681562190204E-2</v>
      </c>
      <c r="R173" s="89"/>
      <c r="S173" s="89"/>
      <c r="T173" s="89"/>
      <c r="U173" s="89"/>
      <c r="V173" s="89"/>
      <c r="W173" s="89"/>
      <c r="X173" s="89"/>
      <c r="Y173" s="89"/>
      <c r="Z173" s="89"/>
      <c r="AA173" s="56"/>
      <c r="AB173" s="89"/>
    </row>
    <row r="174" spans="1:28">
      <c r="A174" s="209" t="s">
        <v>233</v>
      </c>
      <c r="B174" s="47">
        <f>VLOOKUP($A174,'[4]Ave FTE cost'!A$9:X$32,COLUMN('[4]Ave FTE cost'!$V$7),FALSE)</f>
        <v>72.667468837204908</v>
      </c>
      <c r="C174" s="47">
        <f>VLOOKUP($A174,'[4]Ave FTE cost'!$A$55:$X$78,COLUMN('[4]Ave FTE cost'!$V$7),FALSE)</f>
        <v>76.320043103448285</v>
      </c>
      <c r="D174" s="47">
        <f>VLOOKUP($A174,'[4]Ave FTE cost'!$A$100:$X$122,COLUMN('[4]Ave FTE cost'!$V$7),FALSE)</f>
        <v>78.647035415837649</v>
      </c>
      <c r="E174" s="47">
        <f>VLOOKUP($A174,'[4]Ave FTE cost'!$A$144:$X$166,COLUMN('[4]Ave FTE cost'!$V$7),FALSE)</f>
        <v>82.85863288746134</v>
      </c>
      <c r="F174" s="47">
        <f>VLOOKUP($A174,'[4]Ave FTE cost'!$A$186:$X$214,COLUMN('[4]Ave FTE cost'!$V$7),FALSE)</f>
        <v>84.909387960286537</v>
      </c>
      <c r="G174" s="47">
        <f>VLOOKUP($A174,'[4]Ave FTE cost'!$A$231:$X$259,COLUMN('[4]Ave FTE cost'!$V$7),FALSE)</f>
        <v>85.007598385998008</v>
      </c>
      <c r="H174" s="47">
        <f>VLOOKUP($A174,'[4]Ave FTE cost'!$A$275:$X$303,COLUMN('[4]Ave FTE cost'!$V$7),FALSE)</f>
        <v>88.596644896408293</v>
      </c>
      <c r="I174" s="47">
        <f>VLOOKUP($A174,'[4]Ave FTE cost'!$A$320:$X$347,COLUMN('[4]Ave FTE cost'!$V$7),FALSE)</f>
        <v>91.679863504655259</v>
      </c>
      <c r="J174" s="47">
        <f>VLOOKUP($A174,'[4]Ave FTE cost'!$A$364:$X$391,COLUMN('[4]Ave FTE cost'!$V$7),FALSE)</f>
        <v>90.179496094903755</v>
      </c>
      <c r="K174" s="47">
        <f>VLOOKUP($A174,'[4]Ave FTE cost'!$A$407:$X$434,COLUMN('[4]Ave FTE cost'!$V$406),FALSE)</f>
        <v>91.83976031998516</v>
      </c>
      <c r="L174" s="47">
        <f>VLOOKUP($A174,'[4]Ave FTE cost'!$A$448:$X$477,COLUMN('[4]Ave FTE cost'!$V$406),FALSE)</f>
        <v>96.53961472887967</v>
      </c>
      <c r="M174" s="47">
        <f>VLOOKUP($A174,'[4]Ave FTE cost'!$A$490:$X$519,COLUMN('[4]Ave FTE cost'!$V$406),FALSE)</f>
        <v>102.49436458371824</v>
      </c>
      <c r="O174" s="209" t="s">
        <v>233</v>
      </c>
      <c r="Q174" s="89">
        <f t="shared" si="14"/>
        <v>5.0264228611377026E-2</v>
      </c>
      <c r="R174" s="89">
        <f>D174/C174-1</f>
        <v>3.0489923980195233E-2</v>
      </c>
      <c r="S174" s="89">
        <f t="shared" si="14"/>
        <v>5.3550619541541833E-2</v>
      </c>
      <c r="T174" s="89">
        <f t="shared" si="14"/>
        <v>2.4750047175054579E-2</v>
      </c>
      <c r="U174" s="89">
        <f t="shared" si="14"/>
        <v>1.156649789507469E-3</v>
      </c>
      <c r="V174" s="89">
        <f t="shared" si="14"/>
        <v>4.2220302403007892E-2</v>
      </c>
      <c r="W174" s="89">
        <f t="shared" si="14"/>
        <v>3.4800624920413359E-2</v>
      </c>
      <c r="X174" s="89">
        <f t="shared" si="14"/>
        <v>-1.6365288432997338E-2</v>
      </c>
      <c r="Y174" s="89">
        <f t="shared" si="14"/>
        <v>1.8410662034906045E-2</v>
      </c>
      <c r="Z174" s="89">
        <f t="shared" si="14"/>
        <v>5.1174506472136061E-2</v>
      </c>
      <c r="AA174" s="56">
        <f>VLOOKUP($O174,'[4]Ave FTE cost'!$A$492:$Y$519,COLUMN('[4]Ave FTE cost'!$Y$490),FALSE)</f>
        <v>6.4137768334509682E-2</v>
      </c>
      <c r="AB174" s="89"/>
    </row>
    <row r="175" spans="1:28">
      <c r="A175" s="209" t="s">
        <v>234</v>
      </c>
      <c r="B175" s="215">
        <f>'[4]Ave FTE cost'!$V$36</f>
        <v>77.897631614845963</v>
      </c>
      <c r="C175" s="215">
        <f>'[4]Ave FTE cost'!$V$82</f>
        <v>79.229224070539289</v>
      </c>
      <c r="D175" s="47">
        <f>VLOOKUP($A175,'[4]Ave FTE cost'!$A$100:$X$122,COLUMN('[4]Ave FTE cost'!$V$7),FALSE)</f>
        <v>83.669623680526357</v>
      </c>
      <c r="E175" s="47">
        <f>VLOOKUP($A175,'[4]Ave FTE cost'!$A$144:$X$166,COLUMN('[4]Ave FTE cost'!$V$7),FALSE)</f>
        <v>84.875559587955294</v>
      </c>
      <c r="F175" s="47">
        <f>VLOOKUP($A175,'[4]Ave FTE cost'!$A$186:$X$214,COLUMN('[4]Ave FTE cost'!$V$7),FALSE)</f>
        <v>88.327013062268833</v>
      </c>
      <c r="G175" s="47">
        <f>VLOOKUP($A175,'[4]Ave FTE cost'!$A$231:$X$259,COLUMN('[4]Ave FTE cost'!$V$7),FALSE)</f>
        <v>88.908877535909795</v>
      </c>
      <c r="H175" s="47">
        <f>VLOOKUP($A175,'[4]Ave FTE cost'!$A$275:$X$303,COLUMN('[4]Ave FTE cost'!$V$7),FALSE)</f>
        <v>92.303392416651818</v>
      </c>
      <c r="I175" s="47">
        <f>VLOOKUP($A175,'[4]Ave FTE cost'!$A$320:$X$347,COLUMN('[4]Ave FTE cost'!$V$7),FALSE)</f>
        <v>94.358033587855346</v>
      </c>
      <c r="J175" s="47">
        <f>VLOOKUP($A175,'[4]Ave FTE cost'!$A$364:$X$391,COLUMN('[4]Ave FTE cost'!$V$7),FALSE)</f>
        <v>98.49116057454421</v>
      </c>
      <c r="K175" s="47">
        <f>VLOOKUP($A175,'[4]Ave FTE cost'!$A$407:$X$434,COLUMN('[4]Ave FTE cost'!$V$406),FALSE)</f>
        <v>99.547609841016595</v>
      </c>
      <c r="L175" s="47">
        <f>VLOOKUP($A175,'[4]Ave FTE cost'!$A$448:$X$477,COLUMN('[4]Ave FTE cost'!$V$406),FALSE)</f>
        <v>100.72865066164032</v>
      </c>
      <c r="M175" s="47">
        <f>VLOOKUP($A175,'[4]Ave FTE cost'!$A$490:$X$519,COLUMN('[4]Ave FTE cost'!$V$406),FALSE)</f>
        <v>104.18986895329579</v>
      </c>
      <c r="O175" s="209" t="s">
        <v>234</v>
      </c>
      <c r="Q175" s="216">
        <f t="shared" si="14"/>
        <v>1.7094132749467805E-2</v>
      </c>
      <c r="R175" s="216">
        <f t="shared" si="14"/>
        <v>5.604497156293875E-2</v>
      </c>
      <c r="S175" s="89">
        <f t="shared" si="14"/>
        <v>1.4413067184735118E-2</v>
      </c>
      <c r="T175" s="89">
        <f t="shared" si="14"/>
        <v>4.0664868556617328E-2</v>
      </c>
      <c r="U175" s="89">
        <f t="shared" si="14"/>
        <v>6.5876163301339385E-3</v>
      </c>
      <c r="V175" s="89">
        <f t="shared" si="14"/>
        <v>3.8179706850657302E-2</v>
      </c>
      <c r="W175" s="89">
        <f t="shared" si="14"/>
        <v>2.2259649590439912E-2</v>
      </c>
      <c r="X175" s="89">
        <f t="shared" si="14"/>
        <v>4.3802597717772285E-2</v>
      </c>
      <c r="Y175" s="89">
        <f t="shared" si="14"/>
        <v>1.0726335848919133E-2</v>
      </c>
      <c r="Z175" s="89">
        <f t="shared" si="14"/>
        <v>1.1864080137232058E-2</v>
      </c>
      <c r="AA175" s="56">
        <f>VLOOKUP($O175,'[4]Ave FTE cost'!$A$492:$Y$519,COLUMN('[4]Ave FTE cost'!$Y$490),FALSE)</f>
        <v>3.772756696352042E-2</v>
      </c>
      <c r="AB175" s="89"/>
    </row>
    <row r="176" spans="1:28">
      <c r="A176" s="209" t="s">
        <v>235</v>
      </c>
      <c r="B176" s="47">
        <f>VLOOKUP($A176,'[4]Ave FTE cost'!A$9:X$32,COLUMN('[4]Ave FTE cost'!$V$7),FALSE)</f>
        <v>78.573534015349068</v>
      </c>
      <c r="C176" s="47">
        <f>VLOOKUP($A176,'[4]Ave FTE cost'!$A$55:$X$78,COLUMN('[4]Ave FTE cost'!$V$7),FALSE)</f>
        <v>80.872134306845211</v>
      </c>
      <c r="D176" s="47"/>
      <c r="E176" s="47"/>
      <c r="F176" s="47"/>
      <c r="G176" s="47"/>
      <c r="H176" s="47"/>
      <c r="I176" s="47"/>
      <c r="J176" s="47"/>
      <c r="K176" s="47"/>
      <c r="L176" s="47"/>
      <c r="M176" s="47"/>
      <c r="O176" s="209" t="s">
        <v>235</v>
      </c>
      <c r="Q176" s="89">
        <f t="shared" si="14"/>
        <v>2.9254128890869424E-2</v>
      </c>
      <c r="R176" s="89"/>
      <c r="S176" s="89"/>
      <c r="T176" s="89"/>
      <c r="U176" s="89"/>
      <c r="V176" s="89"/>
      <c r="W176" s="89"/>
      <c r="X176" s="89"/>
      <c r="Y176" s="89"/>
      <c r="Z176" s="89"/>
      <c r="AA176" s="56"/>
      <c r="AB176" s="89"/>
    </row>
    <row r="177" spans="1:28">
      <c r="A177" s="209" t="s">
        <v>236</v>
      </c>
      <c r="B177" s="47">
        <f>VLOOKUP($A177,'[4]Ave FTE cost'!A$9:X$32,COLUMN('[4]Ave FTE cost'!$V$7),FALSE)</f>
        <v>73.043125442285969</v>
      </c>
      <c r="C177" s="47">
        <f>VLOOKUP($A177,'[4]Ave FTE cost'!$A$55:$X$78,COLUMN('[4]Ave FTE cost'!$V$7),FALSE)</f>
        <v>81.736696101162593</v>
      </c>
      <c r="D177" s="47">
        <f>VLOOKUP($A177,'[4]Ave FTE cost'!$A$100:$X$122,COLUMN('[4]Ave FTE cost'!$V$7),FALSE)</f>
        <v>85.80404376185291</v>
      </c>
      <c r="E177" s="47">
        <f>VLOOKUP($A177,'[4]Ave FTE cost'!$A$144:$X$166,COLUMN('[4]Ave FTE cost'!$V$7),FALSE)</f>
        <v>87.871093114330037</v>
      </c>
      <c r="F177" s="47">
        <f>VLOOKUP($A177,'[4]Ave FTE cost'!$A$186:$X$214,COLUMN('[4]Ave FTE cost'!$V$7),FALSE)</f>
        <v>90.579509071504802</v>
      </c>
      <c r="G177" s="47">
        <f>VLOOKUP($A177,'[4]Ave FTE cost'!$A$231:$X$259,COLUMN('[4]Ave FTE cost'!$V$7),FALSE)</f>
        <v>90.794037589112122</v>
      </c>
      <c r="H177" s="47">
        <f>VLOOKUP($A177,'[4]Ave FTE cost'!$A$275:$X$303,COLUMN('[4]Ave FTE cost'!$V$7),FALSE)</f>
        <v>94.12405766433011</v>
      </c>
      <c r="I177" s="47">
        <f>VLOOKUP($A177,'[4]Ave FTE cost'!$A$320:$X$347,COLUMN('[4]Ave FTE cost'!$V$7),FALSE)</f>
        <v>94.225816607228566</v>
      </c>
      <c r="J177" s="47">
        <f>VLOOKUP($A177,'[4]Ave FTE cost'!$A$364:$X$391,COLUMN('[4]Ave FTE cost'!$V$7),FALSE)</f>
        <v>98.405762173440735</v>
      </c>
      <c r="K177" s="47">
        <f>VLOOKUP($A177,'[4]Ave FTE cost'!$A$407:$X$434,COLUMN('[4]Ave FTE cost'!$V$406),FALSE)</f>
        <v>98.951314630771165</v>
      </c>
      <c r="L177" s="47">
        <f>VLOOKUP($A177,'[4]Ave FTE cost'!$A$448:$X$477,COLUMN('[4]Ave FTE cost'!$V$406),FALSE)</f>
        <v>100.61813415941857</v>
      </c>
      <c r="M177" s="47">
        <f>VLOOKUP($A177,'[4]Ave FTE cost'!$A$490:$X$519,COLUMN('[4]Ave FTE cost'!$V$406),FALSE)</f>
        <v>100.96095380029807</v>
      </c>
      <c r="O177" s="209" t="s">
        <v>236</v>
      </c>
      <c r="Q177" s="89">
        <f t="shared" si="14"/>
        <v>0.11901969701099024</v>
      </c>
      <c r="R177" s="89">
        <f t="shared" si="14"/>
        <v>4.9761586346190212E-2</v>
      </c>
      <c r="S177" s="89">
        <f t="shared" si="14"/>
        <v>2.4090348914256099E-2</v>
      </c>
      <c r="T177" s="89">
        <f t="shared" si="14"/>
        <v>3.0822604581131285E-2</v>
      </c>
      <c r="U177" s="89">
        <f t="shared" si="14"/>
        <v>2.3684000918791082E-3</v>
      </c>
      <c r="V177" s="89">
        <f t="shared" si="14"/>
        <v>3.667663828640344E-2</v>
      </c>
      <c r="W177" s="89">
        <f t="shared" si="14"/>
        <v>1.0811151306433509E-3</v>
      </c>
      <c r="X177" s="89">
        <f t="shared" si="14"/>
        <v>4.4360937551073398E-2</v>
      </c>
      <c r="Y177" s="89">
        <f t="shared" si="14"/>
        <v>5.5439076460674919E-3</v>
      </c>
      <c r="Z177" s="89">
        <f t="shared" si="14"/>
        <v>1.6844844708400419E-2</v>
      </c>
      <c r="AA177" s="56">
        <f>VLOOKUP($O177,'[4]Ave FTE cost'!$A$492:$Y$519,COLUMN('[4]Ave FTE cost'!$Y$490),FALSE)</f>
        <v>2.5520808114453342E-2</v>
      </c>
      <c r="AB177" s="89"/>
    </row>
    <row r="178" spans="1:28">
      <c r="A178" s="209" t="s">
        <v>237</v>
      </c>
      <c r="B178" s="47">
        <f>VLOOKUP($A178,'[4]Ave FTE cost'!A$9:X$32,COLUMN('[4]Ave FTE cost'!$V$7),FALSE)</f>
        <v>70.405134425794202</v>
      </c>
      <c r="C178" s="47">
        <f>VLOOKUP($A178,'[4]Ave FTE cost'!$A$55:$X$78,COLUMN('[4]Ave FTE cost'!$V$7),FALSE)</f>
        <v>73.131240705269605</v>
      </c>
      <c r="D178" s="47">
        <f>VLOOKUP($A178,'[4]Ave FTE cost'!$A$100:$X$122,COLUMN('[4]Ave FTE cost'!$V$7),FALSE)</f>
        <v>78.789291290076321</v>
      </c>
      <c r="E178" s="47">
        <f>VLOOKUP($A178,'[4]Ave FTE cost'!$A$144:$X$166,COLUMN('[4]Ave FTE cost'!$V$7),FALSE)</f>
        <v>78.289279943050033</v>
      </c>
      <c r="F178" s="47">
        <f>VLOOKUP($A178,'[4]Ave FTE cost'!$A$186:$X$214,COLUMN('[4]Ave FTE cost'!$V$7),FALSE)</f>
        <v>81.039709434815748</v>
      </c>
      <c r="G178" s="47">
        <f>VLOOKUP($A178,'[4]Ave FTE cost'!$A$231:$X$259,COLUMN('[4]Ave FTE cost'!$V$7),FALSE)</f>
        <v>83.799797096748634</v>
      </c>
      <c r="H178" s="47">
        <f>VLOOKUP($A178,'[4]Ave FTE cost'!$A$275:$X$303,COLUMN('[4]Ave FTE cost'!$V$7),FALSE)</f>
        <v>84.433515740876658</v>
      </c>
      <c r="I178" s="47">
        <f>VLOOKUP($A178,'[4]Ave FTE cost'!$A$320:$X$347,COLUMN('[4]Ave FTE cost'!$V$7),FALSE)</f>
        <v>86.072536672178245</v>
      </c>
      <c r="J178" s="47">
        <f>VLOOKUP($A178,'[4]Ave FTE cost'!$A$364:$X$391,COLUMN('[4]Ave FTE cost'!$V$7),FALSE)</f>
        <v>90.646324361975985</v>
      </c>
      <c r="K178" s="47">
        <f>VLOOKUP($A178,'[4]Ave FTE cost'!$A$407:$X$434,COLUMN('[4]Ave FTE cost'!$V$406),FALSE)</f>
        <v>91.365561062898479</v>
      </c>
      <c r="L178" s="47">
        <f>VLOOKUP($A178,'[4]Ave FTE cost'!$A$448:$X$477,COLUMN('[4]Ave FTE cost'!$V$406),FALSE)</f>
        <v>96.218511956687905</v>
      </c>
      <c r="M178" s="47">
        <f>VLOOKUP($A178,'[4]Ave FTE cost'!$A$490:$X$519,COLUMN('[4]Ave FTE cost'!$V$406),FALSE)</f>
        <v>99.990879201539244</v>
      </c>
      <c r="O178" s="209" t="s">
        <v>237</v>
      </c>
      <c r="Q178" s="89">
        <f t="shared" ref="Q178:Z199" si="15">C178/B178-1</f>
        <v>3.8720276606369897E-2</v>
      </c>
      <c r="R178" s="89">
        <f t="shared" si="15"/>
        <v>7.7368447878650715E-2</v>
      </c>
      <c r="S178" s="89">
        <f t="shared" si="15"/>
        <v>-6.3461840922697244E-3</v>
      </c>
      <c r="T178" s="89">
        <f t="shared" si="15"/>
        <v>3.5131623304831328E-2</v>
      </c>
      <c r="U178" s="89">
        <f t="shared" si="15"/>
        <v>3.4058459503152116E-2</v>
      </c>
      <c r="V178" s="89">
        <f t="shared" si="15"/>
        <v>7.5622933000230042E-3</v>
      </c>
      <c r="W178" s="89">
        <f t="shared" si="15"/>
        <v>1.9411970672069234E-2</v>
      </c>
      <c r="X178" s="89">
        <f t="shared" si="15"/>
        <v>5.3138757920168977E-2</v>
      </c>
      <c r="Y178" s="89">
        <f t="shared" si="15"/>
        <v>7.9345379526960524E-3</v>
      </c>
      <c r="Z178" s="89">
        <f t="shared" si="15"/>
        <v>5.3115756498759215E-2</v>
      </c>
      <c r="AA178" s="56">
        <f>VLOOKUP($O178,'[4]Ave FTE cost'!$A$492:$Y$519,COLUMN('[4]Ave FTE cost'!$Y$490),FALSE)</f>
        <v>5.3034611922506247E-2</v>
      </c>
      <c r="AB178" s="89"/>
    </row>
    <row r="179" spans="1:28">
      <c r="A179" s="209" t="s">
        <v>238</v>
      </c>
      <c r="B179" s="47">
        <f>VLOOKUP($A179,'[4]Ave FTE cost'!A$9:X$32,COLUMN('[4]Ave FTE cost'!$V$7),FALSE)</f>
        <v>77.048626723631642</v>
      </c>
      <c r="C179" s="47">
        <f>VLOOKUP($A179,'[4]Ave FTE cost'!$A$55:$X$78,COLUMN('[4]Ave FTE cost'!$V$7),FALSE)</f>
        <v>79.446780331612914</v>
      </c>
      <c r="D179" s="47">
        <f>VLOOKUP($A179,'[4]Ave FTE cost'!$A$100:$X$122,COLUMN('[4]Ave FTE cost'!$V$7),FALSE)</f>
        <v>82.24841081043941</v>
      </c>
      <c r="E179" s="47">
        <f>VLOOKUP($A179,'[4]Ave FTE cost'!$A$144:$X$166,COLUMN('[4]Ave FTE cost'!$V$7),FALSE)</f>
        <v>83.116328522080167</v>
      </c>
      <c r="F179" s="47">
        <f>VLOOKUP($A179,'[4]Ave FTE cost'!$A$186:$X$214,COLUMN('[4]Ave FTE cost'!$V$7),FALSE)</f>
        <v>85.018858804317986</v>
      </c>
      <c r="G179" s="47">
        <f>VLOOKUP($A179,'[4]Ave FTE cost'!$A$231:$X$259,COLUMN('[4]Ave FTE cost'!$V$7),FALSE)</f>
        <v>86.648118365932888</v>
      </c>
      <c r="H179" s="47">
        <f>VLOOKUP($A179,'[4]Ave FTE cost'!$A$275:$X$303,COLUMN('[4]Ave FTE cost'!$V$7),FALSE)</f>
        <v>88.866729808389152</v>
      </c>
      <c r="I179" s="47">
        <f>VLOOKUP($A179,'[4]Ave FTE cost'!$A$320:$X$347,COLUMN('[4]Ave FTE cost'!$V$7),FALSE)</f>
        <v>89.690739462176211</v>
      </c>
      <c r="J179" s="47">
        <f>VLOOKUP($A179,'[4]Ave FTE cost'!$A$364:$X$391,COLUMN('[4]Ave FTE cost'!$V$7),FALSE)</f>
        <v>91.936400233229293</v>
      </c>
      <c r="K179" s="47">
        <f>VLOOKUP($A179,'[4]Ave FTE cost'!$A$407:$X$434,COLUMN('[4]Ave FTE cost'!$V$406),FALSE)</f>
        <v>91.605810179833</v>
      </c>
      <c r="L179" s="47">
        <f>VLOOKUP($A179,'[4]Ave FTE cost'!$A$448:$X$477,COLUMN('[4]Ave FTE cost'!$V$406),FALSE)</f>
        <v>94.894181598011244</v>
      </c>
      <c r="M179" s="47">
        <f>VLOOKUP($A179,'[4]Ave FTE cost'!$A$490:$X$519,COLUMN('[4]Ave FTE cost'!$V$406),FALSE)</f>
        <v>97.884114707201817</v>
      </c>
      <c r="O179" s="209" t="s">
        <v>238</v>
      </c>
      <c r="Q179" s="89">
        <f t="shared" si="15"/>
        <v>3.1125195995812982E-2</v>
      </c>
      <c r="R179" s="89">
        <f t="shared" si="15"/>
        <v>3.5264241887870362E-2</v>
      </c>
      <c r="S179" s="89">
        <f t="shared" si="15"/>
        <v>1.0552394910596785E-2</v>
      </c>
      <c r="T179" s="89">
        <f t="shared" si="15"/>
        <v>2.288997019078387E-2</v>
      </c>
      <c r="U179" s="89">
        <f t="shared" si="15"/>
        <v>1.9163507773785282E-2</v>
      </c>
      <c r="V179" s="89">
        <f t="shared" si="15"/>
        <v>2.5604842716683285E-2</v>
      </c>
      <c r="W179" s="89">
        <f t="shared" si="15"/>
        <v>9.2724201235236947E-3</v>
      </c>
      <c r="X179" s="89">
        <f t="shared" si="15"/>
        <v>2.5037822015059996E-2</v>
      </c>
      <c r="Y179" s="89">
        <f t="shared" si="15"/>
        <v>-3.5958559673604507E-3</v>
      </c>
      <c r="Z179" s="89">
        <f t="shared" si="15"/>
        <v>3.5896974348273103E-2</v>
      </c>
      <c r="AA179" s="56">
        <f>VLOOKUP($O179,'[4]Ave FTE cost'!$A$492:$Y$519,COLUMN('[4]Ave FTE cost'!$Y$490),FALSE)</f>
        <v>3.4244324408055693E-2</v>
      </c>
      <c r="AB179" s="89"/>
    </row>
    <row r="180" spans="1:28">
      <c r="A180" s="209" t="s">
        <v>239</v>
      </c>
      <c r="B180" s="47">
        <f>VLOOKUP($A180,'[4]Ave FTE cost'!A$9:X$32,COLUMN('[4]Ave FTE cost'!$V$7),FALSE)</f>
        <v>77.098768349698886</v>
      </c>
      <c r="C180" s="47">
        <f>VLOOKUP($A180,'[4]Ave FTE cost'!$A$55:$X$78,COLUMN('[4]Ave FTE cost'!$V$7),FALSE)</f>
        <v>78.86522854962891</v>
      </c>
      <c r="D180" s="47">
        <f>VLOOKUP($A180,'[4]Ave FTE cost'!$A$100:$X$122,COLUMN('[4]Ave FTE cost'!$V$7),FALSE)</f>
        <v>80.824445488622914</v>
      </c>
      <c r="E180" s="47">
        <f>VLOOKUP($A180,'[4]Ave FTE cost'!$A$144:$X$166,COLUMN('[4]Ave FTE cost'!$V$7),FALSE)</f>
        <v>81.009634142136719</v>
      </c>
      <c r="F180" s="47">
        <f>VLOOKUP($A180,'[4]Ave FTE cost'!$A$186:$X$214,COLUMN('[4]Ave FTE cost'!$V$7),FALSE)</f>
        <v>81.316072947179435</v>
      </c>
      <c r="G180" s="47">
        <f>VLOOKUP($A180,'[4]Ave FTE cost'!$A$231:$X$259,COLUMN('[4]Ave FTE cost'!$V$7),FALSE)</f>
        <v>85.120929835056842</v>
      </c>
      <c r="H180" s="47">
        <f>VLOOKUP($A180,'[4]Ave FTE cost'!$A$275:$X$303,COLUMN('[4]Ave FTE cost'!$V$7),FALSE)</f>
        <v>83.706741687286026</v>
      </c>
      <c r="I180" s="47">
        <f>VLOOKUP($A180,'[4]Ave FTE cost'!$A$320:$X$347,COLUMN('[4]Ave FTE cost'!$V$7),FALSE)</f>
        <v>86.132606066486701</v>
      </c>
      <c r="J180" s="47">
        <f>VLOOKUP($A180,'[4]Ave FTE cost'!$A$364:$X$391,COLUMN('[4]Ave FTE cost'!$V$7),FALSE)</f>
        <v>93.074232930907144</v>
      </c>
      <c r="K180" s="47">
        <f>VLOOKUP($A180,'[4]Ave FTE cost'!$A$407:$X$434,COLUMN('[4]Ave FTE cost'!$V$406),FALSE)</f>
        <v>92.445192357627135</v>
      </c>
      <c r="L180" s="47">
        <f>VLOOKUP($A180,'[4]Ave FTE cost'!$A$448:$X$477,COLUMN('[4]Ave FTE cost'!$V$406),FALSE)</f>
        <v>95.48670406740878</v>
      </c>
      <c r="M180" s="47">
        <f>VLOOKUP($A180,'[4]Ave FTE cost'!$A$490:$X$519,COLUMN('[4]Ave FTE cost'!$V$406),FALSE)</f>
        <v>100.50135740968012</v>
      </c>
      <c r="O180" s="209" t="s">
        <v>239</v>
      </c>
      <c r="Q180" s="89">
        <f t="shared" si="15"/>
        <v>2.2911652646872893E-2</v>
      </c>
      <c r="R180" s="89">
        <f t="shared" si="15"/>
        <v>2.4842595083092833E-2</v>
      </c>
      <c r="S180" s="89">
        <f t="shared" si="15"/>
        <v>2.2912455803965059E-3</v>
      </c>
      <c r="T180" s="89">
        <f t="shared" si="15"/>
        <v>3.7827452041698795E-3</v>
      </c>
      <c r="U180" s="89">
        <f t="shared" si="15"/>
        <v>4.6790957186888971E-2</v>
      </c>
      <c r="V180" s="89">
        <f t="shared" si="15"/>
        <v>-1.661387100107059E-2</v>
      </c>
      <c r="W180" s="89">
        <f t="shared" si="15"/>
        <v>2.898051375913413E-2</v>
      </c>
      <c r="X180" s="89">
        <f t="shared" si="15"/>
        <v>8.0592323644104402E-2</v>
      </c>
      <c r="Y180" s="89">
        <f t="shared" si="15"/>
        <v>-6.7584824872741756E-3</v>
      </c>
      <c r="Z180" s="89">
        <f t="shared" si="15"/>
        <v>3.290070183439564E-2</v>
      </c>
      <c r="AA180" s="56">
        <f>VLOOKUP($O180,'[4]Ave FTE cost'!$A$492:$Y$519,COLUMN('[4]Ave FTE cost'!$Y$490),FALSE)</f>
        <v>7.1891026257346891E-2</v>
      </c>
      <c r="AB180" s="89"/>
    </row>
    <row r="181" spans="1:28">
      <c r="A181" s="209" t="s">
        <v>240</v>
      </c>
      <c r="B181" s="47">
        <f>VLOOKUP($A181,'[4]Ave FTE cost'!A$9:X$32,COLUMN('[4]Ave FTE cost'!$V$7),FALSE)</f>
        <v>77.343252814436241</v>
      </c>
      <c r="C181" s="47">
        <f>VLOOKUP($A181,'[4]Ave FTE cost'!$A$55:$X$78,COLUMN('[4]Ave FTE cost'!$V$7),FALSE)</f>
        <v>81.170888856347929</v>
      </c>
      <c r="D181" s="47">
        <f>VLOOKUP($A181,'[4]Ave FTE cost'!$A$100:$X$122,COLUMN('[4]Ave FTE cost'!$V$7),FALSE)</f>
        <v>82.760130757717633</v>
      </c>
      <c r="E181" s="47">
        <f>VLOOKUP($A181,'[4]Ave FTE cost'!$A$144:$X$166,COLUMN('[4]Ave FTE cost'!$V$7),FALSE)</f>
        <v>85.218316429519817</v>
      </c>
      <c r="F181" s="47">
        <f>VLOOKUP($A181,'[4]Ave FTE cost'!$A$186:$X$214,COLUMN('[4]Ave FTE cost'!$V$7),FALSE)</f>
        <v>84.9043933340878</v>
      </c>
      <c r="G181" s="47">
        <f>VLOOKUP($A181,'[4]Ave FTE cost'!$A$231:$X$259,COLUMN('[4]Ave FTE cost'!$V$7),FALSE)</f>
        <v>85.937583328721416</v>
      </c>
      <c r="H181" s="47">
        <f>VLOOKUP($A181,'[4]Ave FTE cost'!$A$275:$X$303,COLUMN('[4]Ave FTE cost'!$V$7),FALSE)</f>
        <v>87.45225574218415</v>
      </c>
      <c r="I181" s="47">
        <f>VLOOKUP($A181,'[4]Ave FTE cost'!$A$320:$X$347,COLUMN('[4]Ave FTE cost'!$V$7),FALSE)</f>
        <v>91.173086115572701</v>
      </c>
      <c r="J181" s="47">
        <f>VLOOKUP($A181,'[4]Ave FTE cost'!$A$364:$X$391,COLUMN('[4]Ave FTE cost'!$V$7),FALSE)</f>
        <v>91.041180779957131</v>
      </c>
      <c r="K181" s="47">
        <f>VLOOKUP($A181,'[4]Ave FTE cost'!$A$407:$X$434,COLUMN('[4]Ave FTE cost'!$V$406),FALSE)</f>
        <v>91.195440892284225</v>
      </c>
      <c r="L181" s="47">
        <f>VLOOKUP($A181,'[4]Ave FTE cost'!$A$448:$X$477,COLUMN('[4]Ave FTE cost'!$V$406),FALSE)</f>
        <v>95.140132652569605</v>
      </c>
      <c r="M181" s="47">
        <f>VLOOKUP($A181,'[4]Ave FTE cost'!$A$490:$X$519,COLUMN('[4]Ave FTE cost'!$V$406),FALSE)</f>
        <v>99.482676570027422</v>
      </c>
      <c r="O181" s="209" t="s">
        <v>240</v>
      </c>
      <c r="Q181" s="89">
        <f t="shared" si="15"/>
        <v>4.9488945740296719E-2</v>
      </c>
      <c r="R181" s="89">
        <f t="shared" si="15"/>
        <v>1.957896388423519E-2</v>
      </c>
      <c r="S181" s="89">
        <f t="shared" si="15"/>
        <v>2.9702534895680532E-2</v>
      </c>
      <c r="T181" s="89">
        <f t="shared" si="15"/>
        <v>-3.6837514349588041E-3</v>
      </c>
      <c r="U181" s="89">
        <f t="shared" si="15"/>
        <v>1.2168863754413062E-2</v>
      </c>
      <c r="V181" s="89">
        <f t="shared" si="15"/>
        <v>1.7625261902803668E-2</v>
      </c>
      <c r="W181" s="89">
        <f t="shared" si="15"/>
        <v>4.2546991404748269E-2</v>
      </c>
      <c r="X181" s="89">
        <f t="shared" si="15"/>
        <v>-1.4467573846119741E-3</v>
      </c>
      <c r="Y181" s="89">
        <f t="shared" si="15"/>
        <v>1.6943992927764828E-3</v>
      </c>
      <c r="Z181" s="89">
        <f t="shared" si="15"/>
        <v>4.3255361470807108E-2</v>
      </c>
      <c r="AA181" s="56">
        <f>VLOOKUP($O181,'[4]Ave FTE cost'!$A$492:$Y$519,COLUMN('[4]Ave FTE cost'!$Y$490),FALSE)</f>
        <v>6.715919972071438E-2</v>
      </c>
      <c r="AB181" s="89"/>
    </row>
    <row r="182" spans="1:28">
      <c r="A182" s="209" t="s">
        <v>241</v>
      </c>
      <c r="B182" s="47">
        <f>VLOOKUP($A182,'[4]Ave FTE cost'!A$9:X$32,COLUMN('[4]Ave FTE cost'!$V$7),FALSE)</f>
        <v>73.995822207320245</v>
      </c>
      <c r="C182" s="47">
        <f>VLOOKUP($A182,'[4]Ave FTE cost'!$A$55:$X$78,COLUMN('[4]Ave FTE cost'!$V$7),FALSE)</f>
        <v>73.423886162158041</v>
      </c>
      <c r="D182" s="47">
        <f>VLOOKUP($A182,'[4]Ave FTE cost'!$A$100:$X$122,COLUMN('[4]Ave FTE cost'!$V$7),FALSE)</f>
        <v>75.982891274450978</v>
      </c>
      <c r="E182" s="47">
        <f>VLOOKUP($A182,'[4]Ave FTE cost'!$A$144:$X$166,COLUMN('[4]Ave FTE cost'!$V$7),FALSE)</f>
        <v>76.839301413181843</v>
      </c>
      <c r="F182" s="47">
        <f>VLOOKUP($A182,'[4]Ave FTE cost'!$A$186:$X$214,COLUMN('[4]Ave FTE cost'!$V$7),FALSE)</f>
        <v>85.058110554345831</v>
      </c>
      <c r="G182" s="47">
        <f>VLOOKUP($A182,'[4]Ave FTE cost'!$A$231:$X$259,COLUMN('[4]Ave FTE cost'!$V$7),FALSE)</f>
        <v>84.719737115676196</v>
      </c>
      <c r="H182" s="47">
        <f>VLOOKUP($A182,'[4]Ave FTE cost'!$A$275:$X$303,COLUMN('[4]Ave FTE cost'!$V$7),FALSE)</f>
        <v>82.791606972301807</v>
      </c>
      <c r="I182" s="47">
        <f>VLOOKUP($A182,'[4]Ave FTE cost'!$A$320:$X$347,COLUMN('[4]Ave FTE cost'!$V$7),FALSE)</f>
        <v>86.817082231567255</v>
      </c>
      <c r="J182" s="47">
        <f>VLOOKUP($A182,'[4]Ave FTE cost'!$A$364:$X$391,COLUMN('[4]Ave FTE cost'!$V$7),FALSE)</f>
        <v>83.592875690304624</v>
      </c>
      <c r="K182" s="47">
        <f>VLOOKUP($A182,'[4]Ave FTE cost'!$A$407:$X$434,COLUMN('[4]Ave FTE cost'!$V$406),FALSE)</f>
        <v>83.7671395108068</v>
      </c>
      <c r="L182" s="47">
        <f>VLOOKUP($A182,'[4]Ave FTE cost'!$A$448:$X$477,COLUMN('[4]Ave FTE cost'!$V$406),FALSE)</f>
        <v>89.328505595332729</v>
      </c>
      <c r="M182" s="47">
        <f>VLOOKUP($A182,'[4]Ave FTE cost'!$A$490:$X$519,COLUMN('[4]Ave FTE cost'!$V$406),FALSE)</f>
        <v>94.488862622690533</v>
      </c>
      <c r="O182" s="209" t="s">
        <v>241</v>
      </c>
      <c r="Q182" s="89">
        <f t="shared" si="15"/>
        <v>-7.7293018457145202E-3</v>
      </c>
      <c r="R182" s="89">
        <f t="shared" si="15"/>
        <v>3.4852488012434124E-2</v>
      </c>
      <c r="S182" s="89">
        <f t="shared" si="15"/>
        <v>1.1271091746660522E-2</v>
      </c>
      <c r="T182" s="89">
        <f t="shared" si="15"/>
        <v>0.10696100810403841</v>
      </c>
      <c r="U182" s="89">
        <f t="shared" si="15"/>
        <v>-3.9781443117460347E-3</v>
      </c>
      <c r="V182" s="89">
        <f t="shared" si="15"/>
        <v>-2.2758925004001451E-2</v>
      </c>
      <c r="W182" s="89">
        <f t="shared" si="15"/>
        <v>4.8621779507338037E-2</v>
      </c>
      <c r="X182" s="89">
        <f t="shared" si="15"/>
        <v>-3.7137927909886459E-2</v>
      </c>
      <c r="Y182" s="89">
        <f t="shared" si="15"/>
        <v>2.0846731143426833E-3</v>
      </c>
      <c r="Z182" s="89">
        <f t="shared" si="15"/>
        <v>6.6390784226414423E-2</v>
      </c>
      <c r="AA182" s="56">
        <f>VLOOKUP($O182,'[4]Ave FTE cost'!$A$492:$Y$519,COLUMN('[4]Ave FTE cost'!$Y$490),FALSE)</f>
        <v>5.7930676733590758E-2</v>
      </c>
      <c r="AB182" s="89"/>
    </row>
    <row r="183" spans="1:28">
      <c r="A183" s="210" t="s">
        <v>242</v>
      </c>
      <c r="B183" s="217">
        <f>VLOOKUP($A183,'[4]Ave FTE cost'!A$9:X$32,COLUMN('[4]Ave FTE cost'!$V$7),FALSE)</f>
        <v>74.211533067156395</v>
      </c>
      <c r="C183" s="217">
        <f>VLOOKUP($A183,'[4]Ave FTE cost'!$A$55:$X$78,COLUMN('[4]Ave FTE cost'!$V$7),FALSE)</f>
        <v>78.075436423045602</v>
      </c>
      <c r="D183" s="217">
        <f>VLOOKUP($A183,'[4]Ave FTE cost'!$A$100:$X$122,COLUMN('[4]Ave FTE cost'!$V$7),FALSE)</f>
        <v>79.267900440397824</v>
      </c>
      <c r="E183" s="217">
        <f>VLOOKUP($A183,'[4]Ave FTE cost'!$A$144:$X$166,COLUMN('[4]Ave FTE cost'!$V$7),FALSE)</f>
        <v>81.577819548778677</v>
      </c>
      <c r="F183" s="217">
        <f>VLOOKUP($A183,'[4]Ave FTE cost'!$A$186:$X$214,COLUMN('[4]Ave FTE cost'!$V$7),FALSE)</f>
        <v>83.593754892689603</v>
      </c>
      <c r="G183" s="217">
        <f>VLOOKUP($A183,'[4]Ave FTE cost'!$A$231:$X$259,COLUMN('[4]Ave FTE cost'!$V$7),FALSE)</f>
        <v>85.863389613956684</v>
      </c>
      <c r="H183" s="217">
        <f>VLOOKUP($A183,'[4]Ave FTE cost'!$A$275:$X$303,COLUMN('[4]Ave FTE cost'!$V$7),FALSE)</f>
        <v>87.371418584807714</v>
      </c>
      <c r="I183" s="217">
        <f>VLOOKUP($A183,'[4]Ave FTE cost'!$A$320:$X$347,COLUMN('[4]Ave FTE cost'!$V$7),FALSE)</f>
        <v>88.613516798876759</v>
      </c>
      <c r="J183" s="217">
        <f>VLOOKUP($A183,'[4]Ave FTE cost'!$A$364:$X$391,COLUMN('[4]Ave FTE cost'!$V$7),FALSE)</f>
        <v>90.351979634392094</v>
      </c>
      <c r="K183" s="217">
        <f>VLOOKUP($A183,'[4]Ave FTE cost'!$A$407:$X$434,COLUMN('[4]Ave FTE cost'!$V$406),FALSE)</f>
        <v>91.419085394365624</v>
      </c>
      <c r="L183" s="217">
        <f>VLOOKUP($A183,'[4]Ave FTE cost'!$A$448:$X$477,COLUMN('[4]Ave FTE cost'!$V$406),FALSE)</f>
        <v>93.433077557136343</v>
      </c>
      <c r="M183" s="217">
        <f>VLOOKUP($A183,'[4]Ave FTE cost'!$A$490:$X$519,COLUMN('[4]Ave FTE cost'!$V$406),FALSE)</f>
        <v>97.320057055812086</v>
      </c>
      <c r="O183" s="210" t="s">
        <v>242</v>
      </c>
      <c r="P183" s="119"/>
      <c r="Q183" s="211">
        <f t="shared" si="15"/>
        <v>5.2066076473486156E-2</v>
      </c>
      <c r="R183" s="211">
        <f t="shared" si="15"/>
        <v>1.527322896910821E-2</v>
      </c>
      <c r="S183" s="211">
        <f t="shared" si="15"/>
        <v>2.9140662179108601E-2</v>
      </c>
      <c r="T183" s="211">
        <f t="shared" si="15"/>
        <v>2.4711807143920073E-2</v>
      </c>
      <c r="U183" s="211">
        <f t="shared" si="15"/>
        <v>2.7150768908283274E-2</v>
      </c>
      <c r="V183" s="211">
        <f t="shared" si="15"/>
        <v>1.7563119481203371E-2</v>
      </c>
      <c r="W183" s="211">
        <f t="shared" si="15"/>
        <v>1.4216299039066183E-2</v>
      </c>
      <c r="X183" s="211">
        <f t="shared" si="15"/>
        <v>1.9618483706735912E-2</v>
      </c>
      <c r="Y183" s="211">
        <f t="shared" si="15"/>
        <v>1.181054100077894E-2</v>
      </c>
      <c r="Z183" s="211">
        <f t="shared" si="15"/>
        <v>2.2030325003610685E-2</v>
      </c>
      <c r="AA183" s="221">
        <f>VLOOKUP($O183,'[4]Ave FTE cost'!$A$492:$Y$519,COLUMN('[4]Ave FTE cost'!$Y$490),FALSE)</f>
        <v>5.148825614716479E-2</v>
      </c>
      <c r="AB183" s="212"/>
    </row>
    <row r="184" spans="1:28">
      <c r="A184" s="213" t="s">
        <v>156</v>
      </c>
      <c r="B184" s="47">
        <f>VLOOKUP($A184,'[4]Ave FTE cost'!A$9:X$32,COLUMN('[4]Ave FTE cost'!$V$7),FALSE)</f>
        <v>75.734829738750676</v>
      </c>
      <c r="C184" s="47">
        <f>VLOOKUP($A184,'[4]Ave FTE cost'!$A$55:$X$78,COLUMN('[4]Ave FTE cost'!$V$7),FALSE)</f>
        <v>78.898175400018218</v>
      </c>
      <c r="D184" s="47">
        <f>VLOOKUP($A184,'[4]Ave FTE cost'!$A$100:$X$122,COLUMN('[4]Ave FTE cost'!$V$7),FALSE)</f>
        <v>81.761592959826118</v>
      </c>
      <c r="E184" s="47">
        <f>VLOOKUP($A184,'[4]Ave FTE cost'!$A$144:$X$166,COLUMN('[4]Ave FTE cost'!$V$7),FALSE)</f>
        <v>83.200480790595591</v>
      </c>
      <c r="F184" s="47">
        <f>VLOOKUP($A184,'[4]Ave FTE cost'!$A$186:$X$214,COLUMN('[4]Ave FTE cost'!$V$7),FALSE)</f>
        <v>85.591602183138747</v>
      </c>
      <c r="G184" s="47">
        <f>VLOOKUP($A184,'[4]Ave FTE cost'!$A$231:$X$259,COLUMN('[4]Ave FTE cost'!$V$7),FALSE)</f>
        <v>86.899808312604591</v>
      </c>
      <c r="H184" s="47">
        <f>VLOOKUP($A184,'[4]Ave FTE cost'!$A$275:$X$303,COLUMN('[4]Ave FTE cost'!$V$7),FALSE)</f>
        <v>88.847555844951131</v>
      </c>
      <c r="I184" s="47">
        <f>VLOOKUP($A184,'[4]Ave FTE cost'!$A$320:$X$347,COLUMN('[4]Ave FTE cost'!$V$7),FALSE)</f>
        <v>90.287588372066708</v>
      </c>
      <c r="J184" s="47">
        <f>VLOOKUP($A184,'[4]Ave FTE cost'!$A$364:$X$391,COLUMN('[4]Ave FTE cost'!$V$7),FALSE)</f>
        <v>92.563427884112741</v>
      </c>
      <c r="K184" s="47">
        <f>VLOOKUP($A184,'[4]Ave FTE cost'!$A$407:$X$434,COLUMN('[4]Ave FTE cost'!$V$406),FALSE)</f>
        <v>94.027913814358342</v>
      </c>
      <c r="L184" s="47">
        <f>VLOOKUP($A184,'[4]Ave FTE cost'!$A$448:$X$477,COLUMN('[4]Ave FTE cost'!$V$406),FALSE)</f>
        <v>96.353922998301755</v>
      </c>
      <c r="M184" s="47">
        <f>VLOOKUP($A184,'[4]Ave FTE cost'!$A$490:$X$519,COLUMN('[4]Ave FTE cost'!$V$406),FALSE)</f>
        <v>99.667763935262244</v>
      </c>
      <c r="O184" s="213" t="s">
        <v>156</v>
      </c>
      <c r="Q184" s="89">
        <f t="shared" si="15"/>
        <v>4.1768703675436836E-2</v>
      </c>
      <c r="R184" s="89">
        <f t="shared" si="15"/>
        <v>3.6292570078968467E-2</v>
      </c>
      <c r="S184" s="89">
        <f t="shared" si="15"/>
        <v>1.7598578729703496E-2</v>
      </c>
      <c r="T184" s="89">
        <f t="shared" si="15"/>
        <v>2.8739273737627524E-2</v>
      </c>
      <c r="U184" s="89">
        <f t="shared" si="15"/>
        <v>1.5284281355858909E-2</v>
      </c>
      <c r="V184" s="89">
        <f t="shared" si="15"/>
        <v>2.2413714945606289E-2</v>
      </c>
      <c r="W184" s="89">
        <f t="shared" si="15"/>
        <v>1.62079025519688E-2</v>
      </c>
      <c r="X184" s="89">
        <f t="shared" si="15"/>
        <v>2.5206559983278254E-2</v>
      </c>
      <c r="Y184" s="89">
        <f t="shared" si="15"/>
        <v>1.5821431462964997E-2</v>
      </c>
      <c r="Z184" s="89">
        <f t="shared" si="15"/>
        <v>2.4737432636607437E-2</v>
      </c>
      <c r="AA184" s="56">
        <f>VLOOKUP($O184,'[4]Ave FTE cost'!$A$492:$Y$519,COLUMN('[4]Ave FTE cost'!$Y$490),FALSE)</f>
        <v>4.6597556095145931E-2</v>
      </c>
      <c r="AB184" s="89"/>
    </row>
    <row r="185" spans="1:28">
      <c r="W185" s="89"/>
      <c r="X185" s="89"/>
      <c r="Y185" s="89"/>
    </row>
    <row r="186" spans="1:28">
      <c r="A186" s="204" t="s">
        <v>261</v>
      </c>
      <c r="K186" s="9"/>
      <c r="L186" s="9"/>
      <c r="M186" s="9"/>
      <c r="O186" s="109" t="s">
        <v>260</v>
      </c>
      <c r="Y186" s="9"/>
    </row>
    <row r="187" spans="1:28">
      <c r="A187" s="209" t="s">
        <v>221</v>
      </c>
      <c r="B187" s="47">
        <f>VLOOKUP($A187,'[4]Ave FTE cost'!A$9:X$32,COLUMN('[4]Ave FTE cost'!$B$7),FALSE)</f>
        <v>160.82586385191274</v>
      </c>
      <c r="C187" s="47">
        <f>VLOOKUP($A187,'[4]Ave FTE cost'!$A$55:$X$78,COLUMN('[4]Ave FTE cost'!$B$7),FALSE)</f>
        <v>162.76873905971655</v>
      </c>
      <c r="D187" s="47">
        <f>VLOOKUP($A187,'[4]Ave FTE cost'!$A$100:$X$122,COLUMN('[4]Ave FTE cost'!$B$7),FALSE)</f>
        <v>178.63372348404718</v>
      </c>
      <c r="E187" s="57">
        <f>VLOOKUP($A187,'[4]Ave FTE cost'!$A$144:$X$166,COLUMN('[4]Ave FTE cost'!$B$7),FALSE)</f>
        <v>163.62971074000595</v>
      </c>
      <c r="F187" s="57">
        <f>VLOOKUP($A187,'[4]Ave FTE cost'!$A$186:$X$214,COLUMN('[4]Ave FTE cost'!$B$7),FALSE)</f>
        <v>175.21252859140688</v>
      </c>
      <c r="G187" s="57">
        <f>VLOOKUP($A187,'[4]Ave FTE cost'!$A$231:$X$259,COLUMN('[4]Ave FTE cost'!$B$7),FALSE)</f>
        <v>178.75517294804291</v>
      </c>
      <c r="H187" s="47">
        <f>VLOOKUP($A187,'[4]Ave FTE cost'!$A$275:$X$303,COLUMN('[4]Ave FTE cost'!$B$7),FALSE)</f>
        <v>189.51896753079103</v>
      </c>
      <c r="I187" s="47">
        <f>VLOOKUP($A187,'[4]Ave FTE cost'!$A$320:$X$347,COLUMN('[4]Ave FTE cost'!$B$7),FALSE)</f>
        <v>192.33484125798884</v>
      </c>
      <c r="J187" s="47">
        <f>VLOOKUP($A187,'[4]Ave FTE cost'!$A$364:$X$391,COLUMN('[4]Ave FTE cost'!$B$7),FALSE)</f>
        <v>198.60583791746262</v>
      </c>
      <c r="K187" s="47">
        <f>VLOOKUP($A187,'[4]Ave FTE cost'!$A$407:$X$434,COLUMN('[4]Ave FTE cost'!$B$406),FALSE)</f>
        <v>203.95012744401808</v>
      </c>
      <c r="L187" s="47">
        <f>VLOOKUP($A187,'[4]Ave FTE cost'!$A$448:$X$477,COLUMN('[4]Ave FTE cost'!$B$406),FALSE)</f>
        <v>200.68706783254572</v>
      </c>
      <c r="M187" s="47">
        <f>VLOOKUP($A187,'[4]Ave FTE cost'!$A$490:$X$519,COLUMN('[4]Ave FTE cost'!$B$406),FALSE)</f>
        <v>208.18214333385671</v>
      </c>
      <c r="O187" s="209" t="s">
        <v>221</v>
      </c>
      <c r="Q187" s="89">
        <f>C187/B187-1</f>
        <v>1.208061415788686E-2</v>
      </c>
      <c r="R187" s="89">
        <f t="shared" ref="R187:Z197" si="16">D187/C187-1</f>
        <v>9.7469480417305965E-2</v>
      </c>
      <c r="S187" s="89">
        <f t="shared" si="16"/>
        <v>-8.399317022231334E-2</v>
      </c>
      <c r="T187" s="89">
        <f t="shared" si="16"/>
        <v>7.0786764818065784E-2</v>
      </c>
      <c r="U187" s="89">
        <f t="shared" si="16"/>
        <v>2.0219126937534471E-2</v>
      </c>
      <c r="V187" s="89">
        <f t="shared" si="16"/>
        <v>6.021529002618986E-2</v>
      </c>
      <c r="W187" s="89">
        <f t="shared" si="16"/>
        <v>1.4858004789100265E-2</v>
      </c>
      <c r="X187" s="89">
        <f t="shared" si="16"/>
        <v>3.2604579692673274E-2</v>
      </c>
      <c r="Y187" s="89">
        <f t="shared" si="16"/>
        <v>2.690902534686046E-2</v>
      </c>
      <c r="Z187" s="89">
        <f t="shared" si="16"/>
        <v>-1.5999301654606835E-2</v>
      </c>
      <c r="AA187" s="56">
        <f>VLOOKUP($O187,'[4]Ave FTE cost'!$A$492:$AZ$519,COLUMN('[4]Ave FTE cost'!$AF$490),FALSE)</f>
        <v>6.192624841518346E-2</v>
      </c>
    </row>
    <row r="188" spans="1:28">
      <c r="A188" s="209" t="s">
        <v>222</v>
      </c>
      <c r="B188" s="47">
        <f>VLOOKUP($A188,'[4]Ave FTE cost'!A$9:X$32,COLUMN('[4]Ave FTE cost'!$B$7),FALSE)</f>
        <v>187.00302653718538</v>
      </c>
      <c r="C188" s="47">
        <f>VLOOKUP($A188,'[4]Ave FTE cost'!$A$55:$X$78,COLUMN('[4]Ave FTE cost'!$B$7),FALSE)</f>
        <v>183.75793650793651</v>
      </c>
      <c r="D188" s="47">
        <f>VLOOKUP($A188,'[4]Ave FTE cost'!$A$100:$X$122,COLUMN('[4]Ave FTE cost'!$B$7),FALSE)</f>
        <v>188.2348484848485</v>
      </c>
      <c r="E188" s="47">
        <f>VLOOKUP($A188,'[4]Ave FTE cost'!$A$144:$X$166,COLUMN('[4]Ave FTE cost'!$B$7),FALSE)</f>
        <v>193.9814814814815</v>
      </c>
      <c r="F188" s="47">
        <f>VLOOKUP($A188,'[4]Ave FTE cost'!$A$186:$X$214,COLUMN('[4]Ave FTE cost'!$B$7),FALSE)</f>
        <v>198.87320644216692</v>
      </c>
      <c r="G188" s="47">
        <f>VLOOKUP($A188,'[4]Ave FTE cost'!$A$231:$X$259,COLUMN('[4]Ave FTE cost'!$B$7),FALSE)</f>
        <v>201.14368650217708</v>
      </c>
      <c r="H188" s="47">
        <f>VLOOKUP($A188,'[4]Ave FTE cost'!$A$275:$X$303,COLUMN('[4]Ave FTE cost'!$B$7),FALSE)</f>
        <v>204.19893228434955</v>
      </c>
      <c r="I188" s="47">
        <f>VLOOKUP($A188,'[4]Ave FTE cost'!$A$320:$X$347,COLUMN('[4]Ave FTE cost'!$B$7),FALSE)</f>
        <v>204.36041834271921</v>
      </c>
      <c r="J188" s="47">
        <f>VLOOKUP($A188,'[4]Ave FTE cost'!$A$364:$X$391,COLUMN('[4]Ave FTE cost'!$B$7),FALSE)</f>
        <v>211.88935162961025</v>
      </c>
      <c r="K188" s="47">
        <f>VLOOKUP($A188,'[4]Ave FTE cost'!$A$407:$X$434,COLUMN('[4]Ave FTE cost'!$B$406),FALSE)</f>
        <v>212.65609607761994</v>
      </c>
      <c r="L188" s="47">
        <f>VLOOKUP($A188,'[4]Ave FTE cost'!$A$448:$X$477,COLUMN('[4]Ave FTE cost'!$B$406),FALSE)</f>
        <v>216.33266098201699</v>
      </c>
      <c r="M188" s="47">
        <f>VLOOKUP($A188,'[4]Ave FTE cost'!$A$490:$X$519,COLUMN('[4]Ave FTE cost'!$B$406),FALSE)</f>
        <v>226.12617021618186</v>
      </c>
      <c r="O188" s="209" t="s">
        <v>222</v>
      </c>
      <c r="Q188" s="89">
        <f t="shared" ref="Q188:Z209" si="17">C188/B188-1</f>
        <v>-1.7353141761069724E-2</v>
      </c>
      <c r="R188" s="89">
        <f t="shared" si="16"/>
        <v>2.4363094525273077E-2</v>
      </c>
      <c r="S188" s="89">
        <f t="shared" si="16"/>
        <v>3.0529060069849789E-2</v>
      </c>
      <c r="T188" s="89">
        <f t="shared" si="16"/>
        <v>2.5217484284201674E-2</v>
      </c>
      <c r="U188" s="89">
        <f t="shared" si="16"/>
        <v>1.1416721742606439E-2</v>
      </c>
      <c r="V188" s="89">
        <f t="shared" si="16"/>
        <v>1.5189369526343199E-2</v>
      </c>
      <c r="W188" s="89">
        <f t="shared" si="16"/>
        <v>7.9082714372269436E-4</v>
      </c>
      <c r="X188" s="89">
        <f t="shared" si="16"/>
        <v>3.6841445853104338E-2</v>
      </c>
      <c r="Y188" s="89">
        <f t="shared" si="16"/>
        <v>3.6186077408457695E-3</v>
      </c>
      <c r="Z188" s="89">
        <f t="shared" si="16"/>
        <v>1.7288782086242627E-2</v>
      </c>
      <c r="AA188" s="56">
        <f>VLOOKUP($O188,'[4]Ave FTE cost'!$A$492:$AZ$519,COLUMN('[4]Ave FTE cost'!$AF$490),FALSE)</f>
        <v>3.6805423469956189E-2</v>
      </c>
    </row>
    <row r="189" spans="1:28">
      <c r="A189" s="209" t="s">
        <v>223</v>
      </c>
      <c r="B189" s="47">
        <f>VLOOKUP($A189,'[4]Ave FTE cost'!A$9:X$32,COLUMN('[4]Ave FTE cost'!$B$7),FALSE)</f>
        <v>158.07501321453657</v>
      </c>
      <c r="C189" s="47">
        <f>VLOOKUP($A189,'[4]Ave FTE cost'!$A$55:$X$78,COLUMN('[4]Ave FTE cost'!$B$7),FALSE)</f>
        <v>168.5834778703732</v>
      </c>
      <c r="D189" s="47">
        <f>VLOOKUP($A189,'[4]Ave FTE cost'!$A$100:$X$122,COLUMN('[4]Ave FTE cost'!$B$7),FALSE)</f>
        <v>176.07600107696442</v>
      </c>
      <c r="E189" s="47">
        <f>VLOOKUP($A189,'[4]Ave FTE cost'!$A$144:$X$166,COLUMN('[4]Ave FTE cost'!$B$7),FALSE)</f>
        <v>179.7958949119961</v>
      </c>
      <c r="F189" s="47">
        <f>VLOOKUP($A189,'[4]Ave FTE cost'!$A$186:$X$214,COLUMN('[4]Ave FTE cost'!$B$7),FALSE)</f>
        <v>191.21249685158753</v>
      </c>
      <c r="G189" s="47">
        <f>VLOOKUP($A189,'[4]Ave FTE cost'!$A$231:$X$259,COLUMN('[4]Ave FTE cost'!$B$7),FALSE)</f>
        <v>186.32683487187788</v>
      </c>
      <c r="H189" s="47">
        <f>VLOOKUP($A189,'[4]Ave FTE cost'!$A$275:$X$303,COLUMN('[4]Ave FTE cost'!$B$7),FALSE)</f>
        <v>184.37478601083299</v>
      </c>
      <c r="I189" s="47">
        <f>VLOOKUP($A189,'[4]Ave FTE cost'!$A$320:$X$347,COLUMN('[4]Ave FTE cost'!$B$7),FALSE)</f>
        <v>192.80492879583775</v>
      </c>
      <c r="J189" s="47">
        <f>VLOOKUP($A189,'[4]Ave FTE cost'!$A$364:$X$391,COLUMN('[4]Ave FTE cost'!$B$7),FALSE)</f>
        <v>200.97766238259092</v>
      </c>
      <c r="K189" s="47">
        <f>VLOOKUP($A189,'[4]Ave FTE cost'!$A$407:$X$434,COLUMN('[4]Ave FTE cost'!$B$406),FALSE)</f>
        <v>207.16979482921286</v>
      </c>
      <c r="L189" s="47">
        <f>VLOOKUP($A189,'[4]Ave FTE cost'!$A$448:$X$477,COLUMN('[4]Ave FTE cost'!$B$406),FALSE)</f>
        <v>212.07538337810951</v>
      </c>
      <c r="M189" s="47">
        <f>VLOOKUP($A189,'[4]Ave FTE cost'!$A$490:$X$519,COLUMN('[4]Ave FTE cost'!$B$406),FALSE)</f>
        <v>222.51980512603262</v>
      </c>
      <c r="O189" s="209" t="s">
        <v>223</v>
      </c>
      <c r="Q189" s="89">
        <f t="shared" si="17"/>
        <v>6.6477708539392832E-2</v>
      </c>
      <c r="R189" s="89">
        <f t="shared" si="16"/>
        <v>4.4443994757020988E-2</v>
      </c>
      <c r="S189" s="89">
        <f t="shared" si="16"/>
        <v>2.1126637430876727E-2</v>
      </c>
      <c r="T189" s="89">
        <f t="shared" si="16"/>
        <v>6.3497567311975978E-2</v>
      </c>
      <c r="U189" s="89">
        <f t="shared" si="16"/>
        <v>-2.5550955403828679E-2</v>
      </c>
      <c r="V189" s="89">
        <f t="shared" si="16"/>
        <v>-1.0476477327525879E-2</v>
      </c>
      <c r="W189" s="89">
        <f t="shared" si="16"/>
        <v>4.5722861392280878E-2</v>
      </c>
      <c r="X189" s="89">
        <f t="shared" si="16"/>
        <v>4.238861339176303E-2</v>
      </c>
      <c r="Y189" s="89">
        <f t="shared" si="16"/>
        <v>3.0810053083582423E-2</v>
      </c>
      <c r="Z189" s="89">
        <f t="shared" si="16"/>
        <v>2.3679072294012338E-2</v>
      </c>
      <c r="AA189" s="56">
        <f>VLOOKUP($O189,'[4]Ave FTE cost'!$A$492:$AZ$519,COLUMN('[4]Ave FTE cost'!$AF$490),FALSE)</f>
        <v>5.1735356152576184E-2</v>
      </c>
    </row>
    <row r="190" spans="1:28">
      <c r="A190" s="209" t="s">
        <v>224</v>
      </c>
      <c r="B190" s="47">
        <f>VLOOKUP($A190,'[4]Ave FTE cost'!A$9:X$32,COLUMN('[4]Ave FTE cost'!$B$7),FALSE)</f>
        <v>139.54002171928374</v>
      </c>
      <c r="C190" s="47">
        <f>VLOOKUP($A190,'[4]Ave FTE cost'!$A$55:$X$78,COLUMN('[4]Ave FTE cost'!$B$7),FALSE)</f>
        <v>147.82318993090908</v>
      </c>
      <c r="D190" s="47">
        <f>VLOOKUP($A190,'[4]Ave FTE cost'!$A$100:$X$122,COLUMN('[4]Ave FTE cost'!$B$7),FALSE)</f>
        <v>151.09976334690012</v>
      </c>
      <c r="E190" s="47">
        <f>VLOOKUP($A190,'[4]Ave FTE cost'!$A$144:$X$166,COLUMN('[4]Ave FTE cost'!$B$7),FALSE)</f>
        <v>159.10378903092891</v>
      </c>
      <c r="F190" s="47">
        <f>VLOOKUP($A190,'[4]Ave FTE cost'!$A$186:$X$214,COLUMN('[4]Ave FTE cost'!$B$7),FALSE)</f>
        <v>167.81081839374795</v>
      </c>
      <c r="G190" s="47">
        <f>VLOOKUP($A190,'[4]Ave FTE cost'!$A$231:$X$259,COLUMN('[4]Ave FTE cost'!$B$7),FALSE)</f>
        <v>170.13401719592972</v>
      </c>
      <c r="H190" s="47">
        <f>VLOOKUP($A190,'[4]Ave FTE cost'!$A$275:$X$303,COLUMN('[4]Ave FTE cost'!$B$7),FALSE)</f>
        <v>160.25060525651392</v>
      </c>
      <c r="I190" s="47">
        <f>VLOOKUP($A190,'[4]Ave FTE cost'!$A$320:$X$347,COLUMN('[4]Ave FTE cost'!$B$7),FALSE)</f>
        <v>161.02893477439156</v>
      </c>
      <c r="J190" s="47">
        <f>VLOOKUP($A190,'[4]Ave FTE cost'!$A$364:$X$391,COLUMN('[4]Ave FTE cost'!$B$7),FALSE)</f>
        <v>163.83499081823066</v>
      </c>
      <c r="K190" s="47">
        <f>VLOOKUP($A190,'[4]Ave FTE cost'!$A$407:$X$434,COLUMN('[4]Ave FTE cost'!$B$406),FALSE)</f>
        <v>169.45240595787783</v>
      </c>
      <c r="L190" s="47">
        <f>VLOOKUP($A190,'[4]Ave FTE cost'!$A$448:$X$477,COLUMN('[4]Ave FTE cost'!$B$406),FALSE)</f>
        <v>165.63893828548547</v>
      </c>
      <c r="M190" s="47">
        <f>VLOOKUP($A190,'[4]Ave FTE cost'!$A$490:$X$519,COLUMN('[4]Ave FTE cost'!$B$406),FALSE)</f>
        <v>171.72608555221026</v>
      </c>
      <c r="O190" s="209" t="s">
        <v>224</v>
      </c>
      <c r="Q190" s="89">
        <f t="shared" si="17"/>
        <v>5.9360519724504623E-2</v>
      </c>
      <c r="R190" s="89">
        <f t="shared" si="16"/>
        <v>2.2165489849883979E-2</v>
      </c>
      <c r="S190" s="89">
        <f t="shared" si="16"/>
        <v>5.2971794970008368E-2</v>
      </c>
      <c r="T190" s="89">
        <f t="shared" si="16"/>
        <v>5.4725468298724378E-2</v>
      </c>
      <c r="U190" s="89">
        <f t="shared" si="16"/>
        <v>1.3844153937266679E-2</v>
      </c>
      <c r="V190" s="89">
        <f t="shared" si="16"/>
        <v>-5.8091921311855366E-2</v>
      </c>
      <c r="W190" s="89">
        <f t="shared" si="16"/>
        <v>4.8569521259016479E-3</v>
      </c>
      <c r="X190" s="89">
        <f t="shared" si="16"/>
        <v>1.742578778013093E-2</v>
      </c>
      <c r="Y190" s="89">
        <f t="shared" si="16"/>
        <v>3.4287029355526855E-2</v>
      </c>
      <c r="Z190" s="89">
        <f t="shared" si="16"/>
        <v>-2.2504653450245549E-2</v>
      </c>
      <c r="AA190" s="56">
        <f>VLOOKUP($O190,'[4]Ave FTE cost'!$A$492:$AZ$519,COLUMN('[4]Ave FTE cost'!$AF$490),FALSE)</f>
        <v>1.2968409320424312E-2</v>
      </c>
    </row>
    <row r="191" spans="1:28">
      <c r="A191" s="209" t="s">
        <v>225</v>
      </c>
      <c r="B191" s="47">
        <f>VLOOKUP($A191,'[4]Ave FTE cost'!A$9:X$32,COLUMN('[4]Ave FTE cost'!$B$7),FALSE)</f>
        <v>140.73593450035787</v>
      </c>
      <c r="C191" s="47">
        <f>VLOOKUP($A191,'[4]Ave FTE cost'!$A$55:$X$78,COLUMN('[4]Ave FTE cost'!$B$7),FALSE)</f>
        <v>160.54527095254124</v>
      </c>
      <c r="D191" s="47">
        <f>VLOOKUP($A191,'[4]Ave FTE cost'!$A$100:$X$122,COLUMN('[4]Ave FTE cost'!$B$7),FALSE)</f>
        <v>156.99516908212561</v>
      </c>
      <c r="E191" s="47">
        <f>VLOOKUP($A191,'[4]Ave FTE cost'!$A$144:$X$166,COLUMN('[4]Ave FTE cost'!$B$7),FALSE)</f>
        <v>163.09320918342459</v>
      </c>
      <c r="F191" s="47">
        <f>VLOOKUP($A191,'[4]Ave FTE cost'!$A$186:$X$214,COLUMN('[4]Ave FTE cost'!$B$7),FALSE)</f>
        <v>167.0069657286152</v>
      </c>
      <c r="G191" s="47">
        <f>VLOOKUP($A191,'[4]Ave FTE cost'!$A$231:$X$259,COLUMN('[4]Ave FTE cost'!$B$7),FALSE)</f>
        <v>167.35864395053187</v>
      </c>
      <c r="H191" s="47">
        <f>VLOOKUP($A191,'[4]Ave FTE cost'!$A$275:$X$303,COLUMN('[4]Ave FTE cost'!$B$7),FALSE)</f>
        <v>166.072979432457</v>
      </c>
      <c r="I191" s="47">
        <f>VLOOKUP($A191,'[4]Ave FTE cost'!$A$320:$X$347,COLUMN('[4]Ave FTE cost'!$B$7),FALSE)</f>
        <v>176.22184817370814</v>
      </c>
      <c r="J191" s="47">
        <f>VLOOKUP($A191,'[4]Ave FTE cost'!$A$364:$X$391,COLUMN('[4]Ave FTE cost'!$B$7),FALSE)</f>
        <v>186.20500431406384</v>
      </c>
      <c r="K191" s="47">
        <f>VLOOKUP($A191,'[4]Ave FTE cost'!$A$407:$X$434,COLUMN('[4]Ave FTE cost'!$B$406),FALSE)</f>
        <v>189.95503915130084</v>
      </c>
      <c r="L191" s="47">
        <f>VLOOKUP($A191,'[4]Ave FTE cost'!$A$448:$X$477,COLUMN('[4]Ave FTE cost'!$B$406),FALSE)</f>
        <v>190.77694562031911</v>
      </c>
      <c r="M191" s="47">
        <f>VLOOKUP($A191,'[4]Ave FTE cost'!$A$490:$X$519,COLUMN('[4]Ave FTE cost'!$B$406),FALSE)</f>
        <v>201.75845620121422</v>
      </c>
      <c r="O191" s="209" t="s">
        <v>225</v>
      </c>
      <c r="Q191" s="89">
        <f t="shared" si="17"/>
        <v>0.1407553552155012</v>
      </c>
      <c r="R191" s="89">
        <f t="shared" si="16"/>
        <v>-2.211277759445851E-2</v>
      </c>
      <c r="S191" s="89">
        <f t="shared" si="16"/>
        <v>3.8842214935346453E-2</v>
      </c>
      <c r="T191" s="89">
        <f t="shared" si="16"/>
        <v>2.3997053983952021E-2</v>
      </c>
      <c r="U191" s="89">
        <f t="shared" si="16"/>
        <v>2.1057697826099009E-3</v>
      </c>
      <c r="V191" s="89">
        <f t="shared" si="16"/>
        <v>-7.6820921090570149E-3</v>
      </c>
      <c r="W191" s="89">
        <f t="shared" si="16"/>
        <v>6.1110897004041265E-2</v>
      </c>
      <c r="X191" s="89">
        <f t="shared" si="16"/>
        <v>5.6651069341384641E-2</v>
      </c>
      <c r="Y191" s="89">
        <f t="shared" si="16"/>
        <v>2.0139280633467704E-2</v>
      </c>
      <c r="Z191" s="89">
        <f t="shared" si="16"/>
        <v>4.3268474092104103E-3</v>
      </c>
      <c r="AA191" s="56">
        <f>VLOOKUP($O191,'[4]Ave FTE cost'!$A$492:$AZ$519,COLUMN('[4]Ave FTE cost'!$AF$490),FALSE)</f>
        <v>6.4587236280114757E-2</v>
      </c>
    </row>
    <row r="192" spans="1:28">
      <c r="A192" s="209" t="s">
        <v>226</v>
      </c>
      <c r="B192" s="47">
        <f>VLOOKUP($A192,'[4]Ave FTE cost'!A$9:X$32,COLUMN('[4]Ave FTE cost'!$B$7),FALSE)</f>
        <v>152.87044420814357</v>
      </c>
      <c r="C192" s="47">
        <f>VLOOKUP($A192,'[4]Ave FTE cost'!$A$55:$X$78,COLUMN('[4]Ave FTE cost'!$B$7),FALSE)</f>
        <v>143.83677806297166</v>
      </c>
      <c r="D192" s="47">
        <f>VLOOKUP($A192,'[4]Ave FTE cost'!$A$100:$X$122,COLUMN('[4]Ave FTE cost'!$B$7),FALSE)</f>
        <v>149.89691059865231</v>
      </c>
      <c r="E192" s="47">
        <f>VLOOKUP($A192,'[4]Ave FTE cost'!$A$144:$X$166,COLUMN('[4]Ave FTE cost'!$B$7),FALSE)</f>
        <v>147.68018425959175</v>
      </c>
      <c r="F192" s="47">
        <f>VLOOKUP($A192,'[4]Ave FTE cost'!$A$186:$X$214,COLUMN('[4]Ave FTE cost'!$B$7),FALSE)</f>
        <v>153.33226557007606</v>
      </c>
      <c r="G192" s="47">
        <f>VLOOKUP($A192,'[4]Ave FTE cost'!$A$231:$X$259,COLUMN('[4]Ave FTE cost'!$B$7),FALSE)</f>
        <v>160.63251320947251</v>
      </c>
      <c r="H192" s="47">
        <f>VLOOKUP($A192,'[4]Ave FTE cost'!$A$275:$X$303,COLUMN('[4]Ave FTE cost'!$B$7),FALSE)</f>
        <v>161.88427829577444</v>
      </c>
      <c r="I192" s="47">
        <f>VLOOKUP($A192,'[4]Ave FTE cost'!$A$320:$X$347,COLUMN('[4]Ave FTE cost'!$B$7),FALSE)</f>
        <v>164.65774175131804</v>
      </c>
      <c r="J192" s="47">
        <f>VLOOKUP($A192,'[4]Ave FTE cost'!$A$364:$X$391,COLUMN('[4]Ave FTE cost'!$B$7),FALSE)</f>
        <v>173.97118815005354</v>
      </c>
      <c r="K192" s="47">
        <f>VLOOKUP($A192,'[4]Ave FTE cost'!$A$407:$X$434,COLUMN('[4]Ave FTE cost'!$B$406),FALSE)</f>
        <v>169.21621874488781</v>
      </c>
      <c r="L192" s="47">
        <f>VLOOKUP($A192,'[4]Ave FTE cost'!$A$448:$X$477,COLUMN('[4]Ave FTE cost'!$B$406),FALSE)</f>
        <v>165.36595840055318</v>
      </c>
      <c r="M192" s="47">
        <f>VLOOKUP($A192,'[4]Ave FTE cost'!$A$490:$X$519,COLUMN('[4]Ave FTE cost'!$B$406),FALSE)</f>
        <v>179.95478659349479</v>
      </c>
      <c r="O192" s="209" t="s">
        <v>226</v>
      </c>
      <c r="Q192" s="89">
        <f t="shared" si="17"/>
        <v>-5.9093608263949049E-2</v>
      </c>
      <c r="R192" s="89">
        <f t="shared" si="16"/>
        <v>4.2132009749464183E-2</v>
      </c>
      <c r="S192" s="89">
        <f t="shared" si="16"/>
        <v>-1.4788339067212775E-2</v>
      </c>
      <c r="T192" s="89">
        <f t="shared" si="16"/>
        <v>3.8272442161563669E-2</v>
      </c>
      <c r="U192" s="89">
        <f t="shared" si="16"/>
        <v>4.7610642236679768E-2</v>
      </c>
      <c r="V192" s="89">
        <f t="shared" si="16"/>
        <v>7.7927255279233165E-3</v>
      </c>
      <c r="W192" s="89">
        <f t="shared" si="16"/>
        <v>1.7132382988274353E-2</v>
      </c>
      <c r="X192" s="89">
        <f t="shared" si="16"/>
        <v>5.6562456764417179E-2</v>
      </c>
      <c r="Y192" s="89">
        <f t="shared" si="16"/>
        <v>-2.7331936142578228E-2</v>
      </c>
      <c r="Z192" s="89">
        <f t="shared" si="16"/>
        <v>-2.2753494747092318E-2</v>
      </c>
      <c r="AA192" s="56">
        <f>VLOOKUP($O192,'[4]Ave FTE cost'!$A$492:$AZ$519,COLUMN('[4]Ave FTE cost'!$AF$490),FALSE)</f>
        <v>0.1013318837982744</v>
      </c>
    </row>
    <row r="193" spans="1:27">
      <c r="A193" s="209" t="s">
        <v>227</v>
      </c>
      <c r="B193" s="47">
        <f>VLOOKUP($A193,'[4]Ave FTE cost'!A$9:X$32,COLUMN('[4]Ave FTE cost'!$B$7),FALSE)</f>
        <v>165.32625994694959</v>
      </c>
      <c r="C193" s="47">
        <f>VLOOKUP($A193,'[4]Ave FTE cost'!$A$55:$X$78,COLUMN('[4]Ave FTE cost'!$B$7),FALSE)</f>
        <v>167.1781250718835</v>
      </c>
      <c r="D193" s="47">
        <f>VLOOKUP($A193,'[4]Ave FTE cost'!$A$100:$X$122,COLUMN('[4]Ave FTE cost'!$B$7),FALSE)</f>
        <v>181.90256291849457</v>
      </c>
      <c r="E193" s="47">
        <f>VLOOKUP($A193,'[4]Ave FTE cost'!$A$144:$X$166,COLUMN('[4]Ave FTE cost'!$B$7),FALSE)</f>
        <v>183.32294063259295</v>
      </c>
      <c r="F193" s="47">
        <f>VLOOKUP($A193,'[4]Ave FTE cost'!$A$186:$X$214,COLUMN('[4]Ave FTE cost'!$B$7),FALSE)</f>
        <v>180.97424376772076</v>
      </c>
      <c r="G193" s="47">
        <f>VLOOKUP($A193,'[4]Ave FTE cost'!$A$231:$X$259,COLUMN('[4]Ave FTE cost'!$B$7),FALSE)</f>
        <v>188.41427230452189</v>
      </c>
      <c r="H193" s="47">
        <f>VLOOKUP($A193,'[4]Ave FTE cost'!$A$275:$X$303,COLUMN('[4]Ave FTE cost'!$B$7),FALSE)</f>
        <v>188.13318401102691</v>
      </c>
      <c r="I193" s="47">
        <f>VLOOKUP($A193,'[4]Ave FTE cost'!$A$320:$X$347,COLUMN('[4]Ave FTE cost'!$B$7),FALSE)</f>
        <v>192.54471544715446</v>
      </c>
      <c r="J193" s="47">
        <f>VLOOKUP($A193,'[4]Ave FTE cost'!$A$364:$X$391,COLUMN('[4]Ave FTE cost'!$B$7),FALSE)</f>
        <v>195.85770234986944</v>
      </c>
      <c r="K193" s="47">
        <f>VLOOKUP($A193,'[4]Ave FTE cost'!$A$407:$X$434,COLUMN('[4]Ave FTE cost'!$B$406),FALSE)</f>
        <v>200.06544502617803</v>
      </c>
      <c r="L193" s="47">
        <f>VLOOKUP($A193,'[4]Ave FTE cost'!$A$448:$X$477,COLUMN('[4]Ave FTE cost'!$B$406),FALSE)</f>
        <v>202.31256878892543</v>
      </c>
      <c r="M193" s="47">
        <f>VLOOKUP($A193,'[4]Ave FTE cost'!$A$490:$X$519,COLUMN('[4]Ave FTE cost'!$B$406),FALSE)</f>
        <v>201.07096972899899</v>
      </c>
      <c r="O193" s="209" t="s">
        <v>227</v>
      </c>
      <c r="Q193" s="89">
        <f t="shared" si="17"/>
        <v>1.1201276346105793E-2</v>
      </c>
      <c r="R193" s="89">
        <f t="shared" si="16"/>
        <v>8.807634276481946E-2</v>
      </c>
      <c r="S193" s="89">
        <f t="shared" si="16"/>
        <v>7.8084535550762002E-3</v>
      </c>
      <c r="T193" s="89">
        <f t="shared" si="16"/>
        <v>-1.2811800076779956E-2</v>
      </c>
      <c r="U193" s="89">
        <f t="shared" si="16"/>
        <v>4.1110980114664075E-2</v>
      </c>
      <c r="V193" s="89">
        <f t="shared" si="16"/>
        <v>-1.4918630635404329E-3</v>
      </c>
      <c r="W193" s="89">
        <f t="shared" si="16"/>
        <v>2.3448980887226023E-2</v>
      </c>
      <c r="X193" s="89">
        <f t="shared" si="16"/>
        <v>1.7206324749142521E-2</v>
      </c>
      <c r="Y193" s="89">
        <f t="shared" si="16"/>
        <v>2.1483672206018767E-2</v>
      </c>
      <c r="Z193" s="89">
        <f t="shared" si="16"/>
        <v>1.1231943439574898E-2</v>
      </c>
      <c r="AA193" s="56">
        <f>VLOOKUP($O193,'[4]Ave FTE cost'!$A$492:$AZ$519,COLUMN('[4]Ave FTE cost'!$AF$490),FALSE)</f>
        <v>-1.6272094370322066E-2</v>
      </c>
    </row>
    <row r="194" spans="1:27">
      <c r="A194" s="209" t="s">
        <v>228</v>
      </c>
      <c r="B194" s="47">
        <f>VLOOKUP($A194,'[4]Ave FTE cost'!A$9:X$32,COLUMN('[4]Ave FTE cost'!$B$7),FALSE)</f>
        <v>188.38596491228071</v>
      </c>
      <c r="C194" s="47">
        <f>VLOOKUP($A194,'[4]Ave FTE cost'!$A$55:$X$78,COLUMN('[4]Ave FTE cost'!$B$7),FALSE)</f>
        <v>185.28785969551117</v>
      </c>
      <c r="D194" s="47">
        <f>VLOOKUP($A194,'[4]Ave FTE cost'!$A$100:$X$122,COLUMN('[4]Ave FTE cost'!$B$7),FALSE)</f>
        <v>185.02491995522249</v>
      </c>
      <c r="E194" s="47">
        <f>VLOOKUP($A194,'[4]Ave FTE cost'!$A$144:$X$166,COLUMN('[4]Ave FTE cost'!$B$7),FALSE)</f>
        <v>188.31419079123623</v>
      </c>
      <c r="F194" s="47">
        <f>VLOOKUP($A194,'[4]Ave FTE cost'!$A$186:$X$214,COLUMN('[4]Ave FTE cost'!$B$7),FALSE)</f>
        <v>189.92219491031085</v>
      </c>
      <c r="G194" s="47">
        <f>VLOOKUP($A194,'[4]Ave FTE cost'!$A$231:$X$259,COLUMN('[4]Ave FTE cost'!$B$7),FALSE)</f>
        <v>199.11724137931034</v>
      </c>
      <c r="H194" s="47">
        <f>VLOOKUP($A194,'[4]Ave FTE cost'!$A$275:$X$303,COLUMN('[4]Ave FTE cost'!$B$7),FALSE)</f>
        <v>198.71468144044323</v>
      </c>
      <c r="I194" s="47">
        <f>VLOOKUP($A194,'[4]Ave FTE cost'!$A$320:$X$347,COLUMN('[4]Ave FTE cost'!$B$7),FALSE)</f>
        <v>201.83690987124461</v>
      </c>
      <c r="J194" s="47">
        <f>VLOOKUP($A194,'[4]Ave FTE cost'!$A$364:$X$391,COLUMN('[4]Ave FTE cost'!$B$7),FALSE)</f>
        <v>205.12016503352243</v>
      </c>
      <c r="K194" s="47">
        <f>VLOOKUP($A194,'[4]Ave FTE cost'!$A$407:$X$434,COLUMN('[4]Ave FTE cost'!$B$406),FALSE)</f>
        <v>203.7285067873303</v>
      </c>
      <c r="L194" s="47">
        <f>VLOOKUP($A194,'[4]Ave FTE cost'!$A$448:$X$477,COLUMN('[4]Ave FTE cost'!$B$406),FALSE)</f>
        <v>204.19521012200633</v>
      </c>
      <c r="M194" s="47">
        <f>VLOOKUP($A194,'[4]Ave FTE cost'!$A$490:$X$519,COLUMN('[4]Ave FTE cost'!$B$406),FALSE)</f>
        <v>216.48192771084339</v>
      </c>
      <c r="O194" s="209" t="s">
        <v>228</v>
      </c>
      <c r="Q194" s="89">
        <f t="shared" si="17"/>
        <v>-1.6445520334872787E-2</v>
      </c>
      <c r="R194" s="89">
        <f t="shared" si="16"/>
        <v>-1.4190877951787417E-3</v>
      </c>
      <c r="S194" s="89">
        <f t="shared" si="16"/>
        <v>1.7777447690882742E-2</v>
      </c>
      <c r="T194" s="89">
        <f t="shared" si="16"/>
        <v>8.5389428822029156E-3</v>
      </c>
      <c r="U194" s="89">
        <f t="shared" si="16"/>
        <v>4.8414807302231244E-2</v>
      </c>
      <c r="V194" s="89">
        <f t="shared" si="16"/>
        <v>-2.021723162085487E-3</v>
      </c>
      <c r="W194" s="89">
        <f t="shared" si="16"/>
        <v>1.5712117535397807E-2</v>
      </c>
      <c r="X194" s="89">
        <f t="shared" si="16"/>
        <v>1.6266871923337867E-2</v>
      </c>
      <c r="Y194" s="89">
        <f t="shared" si="16"/>
        <v>-6.7845998757103398E-3</v>
      </c>
      <c r="Z194" s="89">
        <f t="shared" si="16"/>
        <v>2.2908101670975345E-3</v>
      </c>
      <c r="AA194" s="56">
        <f>VLOOKUP($O194,'[4]Ave FTE cost'!$A$492:$AZ$519,COLUMN('[4]Ave FTE cost'!$AF$490),FALSE)</f>
        <v>5.9251802435243084E-2</v>
      </c>
    </row>
    <row r="195" spans="1:27">
      <c r="A195" s="209" t="s">
        <v>229</v>
      </c>
      <c r="B195" s="47">
        <f>VLOOKUP($A195,'[4]Ave FTE cost'!A$9:X$32,COLUMN('[4]Ave FTE cost'!$B$7),FALSE)</f>
        <v>164.61596448613787</v>
      </c>
      <c r="C195" s="47">
        <f>VLOOKUP($A195,'[4]Ave FTE cost'!$A$55:$X$78,COLUMN('[4]Ave FTE cost'!$B$7),FALSE)</f>
        <v>175.96297003541227</v>
      </c>
      <c r="D195" s="47">
        <f>VLOOKUP($A195,'[4]Ave FTE cost'!$A$100:$X$122,COLUMN('[4]Ave FTE cost'!$B$7),FALSE)</f>
        <v>182.20016073370206</v>
      </c>
      <c r="E195" s="47">
        <f>VLOOKUP($A195,'[4]Ave FTE cost'!$A$144:$X$166,COLUMN('[4]Ave FTE cost'!$B$7),FALSE)</f>
        <v>183.8863446640193</v>
      </c>
      <c r="F195" s="47">
        <f>VLOOKUP($A195,'[4]Ave FTE cost'!$A$186:$X$214,COLUMN('[4]Ave FTE cost'!$B$7),FALSE)</f>
        <v>189.44749625459662</v>
      </c>
      <c r="G195" s="47">
        <f>VLOOKUP($A195,'[4]Ave FTE cost'!$A$231:$X$259,COLUMN('[4]Ave FTE cost'!$B$7),FALSE)</f>
        <v>192.53445381065359</v>
      </c>
      <c r="H195" s="47">
        <f>VLOOKUP($A195,'[4]Ave FTE cost'!$A$275:$X$303,COLUMN('[4]Ave FTE cost'!$B$7),FALSE)</f>
        <v>195.87052534686745</v>
      </c>
      <c r="I195" s="47">
        <f>VLOOKUP($A195,'[4]Ave FTE cost'!$A$320:$X$347,COLUMN('[4]Ave FTE cost'!$B$7),FALSE)</f>
        <v>194.27610714149247</v>
      </c>
      <c r="J195" s="47">
        <f>VLOOKUP($A195,'[4]Ave FTE cost'!$A$364:$X$391,COLUMN('[4]Ave FTE cost'!$B$7),FALSE)</f>
        <v>197.96315283224288</v>
      </c>
      <c r="K195" s="47">
        <f>VLOOKUP($A195,'[4]Ave FTE cost'!$A$407:$X$434,COLUMN('[4]Ave FTE cost'!$B$406),FALSE)</f>
        <v>201.88848150829423</v>
      </c>
      <c r="L195" s="47">
        <f>VLOOKUP($A195,'[4]Ave FTE cost'!$A$448:$X$477,COLUMN('[4]Ave FTE cost'!$B$406),FALSE)</f>
        <v>211.65617516788689</v>
      </c>
      <c r="M195" s="47">
        <f>VLOOKUP($A195,'[4]Ave FTE cost'!$A$490:$X$519,COLUMN('[4]Ave FTE cost'!$B$406),FALSE)</f>
        <v>210.0099020251489</v>
      </c>
      <c r="O195" s="209" t="s">
        <v>229</v>
      </c>
      <c r="Q195" s="89">
        <f t="shared" si="17"/>
        <v>6.8930164730346855E-2</v>
      </c>
      <c r="R195" s="89">
        <f t="shared" si="16"/>
        <v>3.5446041272402695E-2</v>
      </c>
      <c r="S195" s="89">
        <f t="shared" si="16"/>
        <v>9.2545688408129934E-3</v>
      </c>
      <c r="T195" s="89">
        <f t="shared" si="16"/>
        <v>3.0242330395648276E-2</v>
      </c>
      <c r="U195" s="89">
        <f t="shared" si="16"/>
        <v>1.629452812566301E-2</v>
      </c>
      <c r="V195" s="89">
        <f t="shared" si="16"/>
        <v>1.7327140520494666E-2</v>
      </c>
      <c r="W195" s="89">
        <f t="shared" si="16"/>
        <v>-8.1401640320891699E-3</v>
      </c>
      <c r="X195" s="89">
        <f t="shared" si="16"/>
        <v>1.8978379508423515E-2</v>
      </c>
      <c r="Y195" s="89">
        <f t="shared" si="16"/>
        <v>1.9828582339147305E-2</v>
      </c>
      <c r="Z195" s="89">
        <f t="shared" si="16"/>
        <v>4.8381629237185475E-2</v>
      </c>
      <c r="AA195" s="56">
        <f>VLOOKUP($O195,'[4]Ave FTE cost'!$A$492:$AZ$519,COLUMN('[4]Ave FTE cost'!$AF$490),FALSE)</f>
        <v>2.6653882237659854E-2</v>
      </c>
    </row>
    <row r="196" spans="1:27">
      <c r="A196" s="209" t="s">
        <v>230</v>
      </c>
      <c r="B196" s="47">
        <f>VLOOKUP($A196,'[4]Ave FTE cost'!A$9:X$32,COLUMN('[4]Ave FTE cost'!$B$7),FALSE)</f>
        <v>198.82638694839113</v>
      </c>
      <c r="C196" s="47">
        <f>VLOOKUP($A196,'[4]Ave FTE cost'!$A$55:$X$78,COLUMN('[4]Ave FTE cost'!$B$7),FALSE)</f>
        <v>230.26751504013595</v>
      </c>
      <c r="D196" s="47">
        <f>VLOOKUP($A196,'[4]Ave FTE cost'!$A$100:$X$122,COLUMN('[4]Ave FTE cost'!$B$7),FALSE)</f>
        <v>218.96357951923301</v>
      </c>
      <c r="E196" s="47">
        <f>VLOOKUP($A196,'[4]Ave FTE cost'!$A$144:$X$166,COLUMN('[4]Ave FTE cost'!$B$7),FALSE)</f>
        <v>223.68215301604593</v>
      </c>
      <c r="F196" s="47">
        <f>VLOOKUP($A196,'[4]Ave FTE cost'!$A$186:$X$214,COLUMN('[4]Ave FTE cost'!$B$7),FALSE)</f>
        <v>222.95255424280907</v>
      </c>
      <c r="G196" s="47">
        <f>VLOOKUP($A196,'[4]Ave FTE cost'!$A$231:$X$259,COLUMN('[4]Ave FTE cost'!$B$7),FALSE)</f>
        <v>232.40048119844118</v>
      </c>
      <c r="H196" s="47">
        <f>VLOOKUP($A196,'[4]Ave FTE cost'!$A$275:$X$303,COLUMN('[4]Ave FTE cost'!$B$7),FALSE)</f>
        <v>231.95096079270687</v>
      </c>
      <c r="I196" s="47">
        <f>VLOOKUP($A196,'[4]Ave FTE cost'!$A$320:$X$347,COLUMN('[4]Ave FTE cost'!$B$7),FALSE)</f>
        <v>223.12941135625786</v>
      </c>
      <c r="J196" s="47">
        <f>VLOOKUP($A196,'[4]Ave FTE cost'!$A$364:$X$391,COLUMN('[4]Ave FTE cost'!$B$7),FALSE)</f>
        <v>244.87383352953694</v>
      </c>
      <c r="K196" s="47">
        <f>VLOOKUP($A196,'[4]Ave FTE cost'!$A$407:$X$434,COLUMN('[4]Ave FTE cost'!$B$406),FALSE)</f>
        <v>247.33422698949008</v>
      </c>
      <c r="L196" s="47">
        <f>VLOOKUP($A196,'[4]Ave FTE cost'!$A$448:$X$477,COLUMN('[4]Ave FTE cost'!$B$406),FALSE)</f>
        <v>245.77438528735632</v>
      </c>
      <c r="M196" s="47">
        <f>VLOOKUP($A196,'[4]Ave FTE cost'!$A$490:$X$519,COLUMN('[4]Ave FTE cost'!$B$406),FALSE)</f>
        <v>253.59878636194588</v>
      </c>
      <c r="O196" s="209" t="s">
        <v>230</v>
      </c>
      <c r="Q196" s="89">
        <f t="shared" si="17"/>
        <v>0.15813357861753996</v>
      </c>
      <c r="R196" s="89">
        <f t="shared" si="16"/>
        <v>-4.9090448207306348E-2</v>
      </c>
      <c r="S196" s="89">
        <f t="shared" si="16"/>
        <v>2.1549581474568757E-2</v>
      </c>
      <c r="T196" s="89">
        <f t="shared" si="16"/>
        <v>-3.2617656947557805E-3</v>
      </c>
      <c r="U196" s="89">
        <f t="shared" si="16"/>
        <v>4.2376401507123962E-2</v>
      </c>
      <c r="V196" s="89">
        <f t="shared" si="16"/>
        <v>-1.9342490317414418E-3</v>
      </c>
      <c r="W196" s="89">
        <f t="shared" si="16"/>
        <v>-3.8031959024014461E-2</v>
      </c>
      <c r="X196" s="89">
        <f t="shared" si="16"/>
        <v>9.7452066229677836E-2</v>
      </c>
      <c r="Y196" s="89">
        <f t="shared" si="16"/>
        <v>1.0047596447892326E-2</v>
      </c>
      <c r="Z196" s="89">
        <f t="shared" si="16"/>
        <v>-6.3066148228648755E-3</v>
      </c>
      <c r="AA196" s="56">
        <f>VLOOKUP($O196,'[4]Ave FTE cost'!$A$492:$AZ$519,COLUMN('[4]Ave FTE cost'!$AF$490),FALSE)</f>
        <v>3.9770041914446219E-2</v>
      </c>
    </row>
    <row r="197" spans="1:27">
      <c r="A197" s="209" t="s">
        <v>231</v>
      </c>
      <c r="B197" s="47">
        <f>VLOOKUP($A197,'[4]Ave FTE cost'!A$9:X$32,COLUMN('[4]Ave FTE cost'!$B$7),FALSE)</f>
        <v>183.19497979504831</v>
      </c>
      <c r="C197" s="47">
        <f>VLOOKUP($A197,'[4]Ave FTE cost'!$A$55:$X$78,COLUMN('[4]Ave FTE cost'!$B$7),FALSE)</f>
        <v>177.71949775210913</v>
      </c>
      <c r="D197" s="47">
        <f>VLOOKUP($A197,'[4]Ave FTE cost'!$A$100:$X$122,COLUMN('[4]Ave FTE cost'!$B$7),FALSE)</f>
        <v>212.1027065310515</v>
      </c>
      <c r="E197" s="47">
        <f>VLOOKUP($A197,'[4]Ave FTE cost'!$A$144:$X$166,COLUMN('[4]Ave FTE cost'!$B$7),FALSE)</f>
        <v>200.87917385343417</v>
      </c>
      <c r="F197" s="47">
        <f>VLOOKUP($A197,'[4]Ave FTE cost'!$A$186:$X$214,COLUMN('[4]Ave FTE cost'!$B$7),FALSE)</f>
        <v>203.86602207060943</v>
      </c>
      <c r="G197" s="47">
        <f>VLOOKUP($A197,'[4]Ave FTE cost'!$A$231:$X$259,COLUMN('[4]Ave FTE cost'!$B$7),FALSE)</f>
        <v>203.19613753150045</v>
      </c>
      <c r="H197" s="47">
        <f>VLOOKUP($A197,'[4]Ave FTE cost'!$A$275:$X$303,COLUMN('[4]Ave FTE cost'!$B$7),FALSE)</f>
        <v>210.07397616778553</v>
      </c>
      <c r="I197" s="47">
        <f>VLOOKUP($A197,'[4]Ave FTE cost'!$A$320:$X$347,COLUMN('[4]Ave FTE cost'!$B$7),FALSE)</f>
        <v>210.2280250794835</v>
      </c>
      <c r="J197" s="47">
        <f>VLOOKUP($A197,'[4]Ave FTE cost'!$A$364:$X$391,COLUMN('[4]Ave FTE cost'!$B$7),FALSE)</f>
        <v>205.07606169986983</v>
      </c>
      <c r="K197" s="47">
        <f>VLOOKUP($A197,'[4]Ave FTE cost'!$A$407:$X$434,COLUMN('[4]Ave FTE cost'!$B$406),FALSE)</f>
        <v>212.28318255133738</v>
      </c>
      <c r="L197" s="47">
        <f>VLOOKUP($A197,'[4]Ave FTE cost'!$A$448:$X$477,COLUMN('[4]Ave FTE cost'!$B$406),FALSE)</f>
        <v>219.11310345863438</v>
      </c>
      <c r="M197" s="47">
        <f>VLOOKUP($A197,'[4]Ave FTE cost'!$A$490:$X$519,COLUMN('[4]Ave FTE cost'!$B$406),FALSE)</f>
        <v>225.52520712697421</v>
      </c>
      <c r="O197" s="209" t="s">
        <v>231</v>
      </c>
      <c r="Q197" s="89">
        <f t="shared" si="17"/>
        <v>-2.9888821457143333E-2</v>
      </c>
      <c r="R197" s="89">
        <f t="shared" si="16"/>
        <v>0.19346897337568181</v>
      </c>
      <c r="S197" s="89">
        <f t="shared" si="16"/>
        <v>-5.2915556152859478E-2</v>
      </c>
      <c r="T197" s="89">
        <f t="shared" si="16"/>
        <v>1.4868879435727456E-2</v>
      </c>
      <c r="U197" s="89">
        <f t="shared" si="16"/>
        <v>-3.2859057743176434E-3</v>
      </c>
      <c r="V197" s="89">
        <f t="shared" si="16"/>
        <v>3.3848274479227447E-2</v>
      </c>
      <c r="W197" s="89">
        <f t="shared" si="16"/>
        <v>7.3330792565640124E-4</v>
      </c>
      <c r="X197" s="89">
        <f t="shared" si="16"/>
        <v>-2.4506548913570403E-2</v>
      </c>
      <c r="Y197" s="89">
        <f t="shared" si="16"/>
        <v>3.5143647638480768E-2</v>
      </c>
      <c r="Z197" s="89">
        <f t="shared" si="16"/>
        <v>3.2173631585937335E-2</v>
      </c>
      <c r="AA197" s="56">
        <f>VLOOKUP($O197,'[4]Ave FTE cost'!$A$492:$AZ$519,COLUMN('[4]Ave FTE cost'!$AF$490),FALSE)</f>
        <v>4.0282667628051883E-2</v>
      </c>
    </row>
    <row r="198" spans="1:27">
      <c r="A198" s="209" t="s">
        <v>232</v>
      </c>
      <c r="B198" s="47">
        <f>VLOOKUP($A198,'[4]Ave FTE cost'!A$9:X$32,COLUMN('[4]Ave FTE cost'!$B$7),FALSE)</f>
        <v>182.78515744073351</v>
      </c>
      <c r="C198" s="47">
        <f>VLOOKUP($A198,'[4]Ave FTE cost'!$A$55:$X$78,COLUMN('[4]Ave FTE cost'!$B$7),FALSE)</f>
        <v>179.82815489422825</v>
      </c>
      <c r="D198" s="47"/>
      <c r="E198" s="47"/>
      <c r="F198" s="47"/>
      <c r="G198" s="47"/>
      <c r="H198" s="47"/>
      <c r="I198" s="47"/>
      <c r="J198" s="47"/>
      <c r="K198" s="47"/>
      <c r="L198" s="47"/>
      <c r="M198" s="47"/>
      <c r="O198" s="209" t="s">
        <v>232</v>
      </c>
      <c r="Q198" s="89">
        <f t="shared" si="17"/>
        <v>-1.6177476267262292E-2</v>
      </c>
      <c r="R198" s="89"/>
      <c r="S198" s="89"/>
      <c r="T198" s="89"/>
      <c r="U198" s="89"/>
      <c r="V198" s="89"/>
      <c r="W198" s="89"/>
      <c r="X198" s="89"/>
      <c r="Y198" s="89"/>
      <c r="Z198" s="89"/>
      <c r="AA198" s="56"/>
    </row>
    <row r="199" spans="1:27">
      <c r="A199" s="209" t="s">
        <v>233</v>
      </c>
      <c r="B199" s="47">
        <f>VLOOKUP($A199,'[4]Ave FTE cost'!A$9:X$32,COLUMN('[4]Ave FTE cost'!$B$7),FALSE)</f>
        <v>233.64161849710982</v>
      </c>
      <c r="C199" s="47">
        <f>VLOOKUP($A199,'[4]Ave FTE cost'!$A$55:$X$78,COLUMN('[4]Ave FTE cost'!$B$7),FALSE)</f>
        <v>256.73850158074532</v>
      </c>
      <c r="D199" s="47">
        <f>VLOOKUP($A199,'[4]Ave FTE cost'!$A$100:$X$122,COLUMN('[4]Ave FTE cost'!$B$7),FALSE)</f>
        <v>269.42372881355931</v>
      </c>
      <c r="E199" s="47">
        <f>VLOOKUP($A199,'[4]Ave FTE cost'!$A$144:$X$166,COLUMN('[4]Ave FTE cost'!$B$7),FALSE)</f>
        <v>277.84936252417214</v>
      </c>
      <c r="F199" s="47">
        <f>VLOOKUP($A199,'[4]Ave FTE cost'!$A$186:$X$214,COLUMN('[4]Ave FTE cost'!$B$7),FALSE)</f>
        <v>266.370820668693</v>
      </c>
      <c r="G199" s="47">
        <f>VLOOKUP($A199,'[4]Ave FTE cost'!$A$231:$X$259,COLUMN('[4]Ave FTE cost'!$B$7),FALSE)</f>
        <v>260.4408886842408</v>
      </c>
      <c r="H199" s="47">
        <f>VLOOKUP($A199,'[4]Ave FTE cost'!$A$275:$X$303,COLUMN('[4]Ave FTE cost'!$B$7),FALSE)</f>
        <v>274.05235087910739</v>
      </c>
      <c r="I199" s="47">
        <f>VLOOKUP($A199,'[4]Ave FTE cost'!$A$320:$X$347,COLUMN('[4]Ave FTE cost'!$B$7),FALSE)</f>
        <v>258.16757783723</v>
      </c>
      <c r="J199" s="47">
        <f>VLOOKUP($A199,'[4]Ave FTE cost'!$A$364:$X$391,COLUMN('[4]Ave FTE cost'!$B$7),FALSE)</f>
        <v>253.25342465753425</v>
      </c>
      <c r="K199" s="47">
        <f>VLOOKUP($A199,'[4]Ave FTE cost'!$A$407:$X$434,COLUMN('[4]Ave FTE cost'!$B$406),FALSE)</f>
        <v>260.98316858135183</v>
      </c>
      <c r="L199" s="47">
        <f>VLOOKUP($A199,'[4]Ave FTE cost'!$A$448:$X$477,COLUMN('[4]Ave FTE cost'!$B$406),FALSE)</f>
        <v>263.97473494247691</v>
      </c>
      <c r="M199" s="47">
        <f>VLOOKUP($A199,'[4]Ave FTE cost'!$A$490:$X$519,COLUMN('[4]Ave FTE cost'!$B$406),FALSE)</f>
        <v>262.62029452575985</v>
      </c>
      <c r="O199" s="209" t="s">
        <v>233</v>
      </c>
      <c r="Q199" s="89">
        <f t="shared" si="17"/>
        <v>9.8856031011106849E-2</v>
      </c>
      <c r="R199" s="89">
        <f t="shared" si="17"/>
        <v>4.9409134799458299E-2</v>
      </c>
      <c r="S199" s="89">
        <f t="shared" si="17"/>
        <v>3.1272797491580073E-2</v>
      </c>
      <c r="T199" s="89">
        <f t="shared" si="17"/>
        <v>-4.1312104340280875E-2</v>
      </c>
      <c r="U199" s="89">
        <f t="shared" si="17"/>
        <v>-2.2261942841808935E-2</v>
      </c>
      <c r="V199" s="89">
        <f t="shared" si="17"/>
        <v>5.2263153699222631E-2</v>
      </c>
      <c r="W199" s="89">
        <f t="shared" si="17"/>
        <v>-5.7962549822769605E-2</v>
      </c>
      <c r="X199" s="89">
        <f t="shared" si="17"/>
        <v>-1.9034741778435227E-2</v>
      </c>
      <c r="Y199" s="89">
        <f t="shared" si="17"/>
        <v>3.0521774520009926E-2</v>
      </c>
      <c r="Z199" s="89">
        <f t="shared" si="17"/>
        <v>1.146267928842537E-2</v>
      </c>
      <c r="AA199" s="56">
        <f>VLOOKUP($O199,'[4]Ave FTE cost'!$A$492:$AZ$519,COLUMN('[4]Ave FTE cost'!$AF$490),FALSE)</f>
        <v>-1.5531995509248442E-2</v>
      </c>
    </row>
    <row r="200" spans="1:27">
      <c r="A200" s="209" t="s">
        <v>234</v>
      </c>
      <c r="B200" s="215">
        <f>'[4]Ave FTE cost'!$B$36</f>
        <v>188.66243599232752</v>
      </c>
      <c r="C200" s="215">
        <f>'[4]Ave FTE cost'!$B$82</f>
        <v>187.0910167332371</v>
      </c>
      <c r="D200" s="47">
        <f>VLOOKUP($A200,'[4]Ave FTE cost'!$A$100:$X$122,COLUMN('[4]Ave FTE cost'!$B$7),FALSE)</f>
        <v>205.14735427138598</v>
      </c>
      <c r="E200" s="47">
        <f>VLOOKUP($A200,'[4]Ave FTE cost'!$A$144:$X$166,COLUMN('[4]Ave FTE cost'!$B$7),FALSE)</f>
        <v>203.76467440754894</v>
      </c>
      <c r="F200" s="47">
        <f>VLOOKUP($A200,'[4]Ave FTE cost'!$A$186:$X$214,COLUMN('[4]Ave FTE cost'!$B$7),FALSE)</f>
        <v>213.75884904812835</v>
      </c>
      <c r="G200" s="47">
        <f>VLOOKUP($A200,'[4]Ave FTE cost'!$A$231:$X$259,COLUMN('[4]Ave FTE cost'!$B$7),FALSE)</f>
        <v>213.7925689623128</v>
      </c>
      <c r="H200" s="47">
        <f>VLOOKUP($A200,'[4]Ave FTE cost'!$A$275:$X$303,COLUMN('[4]Ave FTE cost'!$B$7),FALSE)</f>
        <v>218.13183004647897</v>
      </c>
      <c r="I200" s="47">
        <f>VLOOKUP($A200,'[4]Ave FTE cost'!$A$320:$X$347,COLUMN('[4]Ave FTE cost'!$B$7),FALSE)</f>
        <v>222.57814853660156</v>
      </c>
      <c r="J200" s="47">
        <f>VLOOKUP($A200,'[4]Ave FTE cost'!$A$364:$X$391,COLUMN('[4]Ave FTE cost'!$B$7),FALSE)</f>
        <v>228.25688766301633</v>
      </c>
      <c r="K200" s="47">
        <f>VLOOKUP($A200,'[4]Ave FTE cost'!$A$407:$X$434,COLUMN('[4]Ave FTE cost'!$B$406),FALSE)</f>
        <v>232.26436834739644</v>
      </c>
      <c r="L200" s="47">
        <f>VLOOKUP($A200,'[4]Ave FTE cost'!$A$448:$X$477,COLUMN('[4]Ave FTE cost'!$B$406),FALSE)</f>
        <v>232.42616240219724</v>
      </c>
      <c r="M200" s="47">
        <f>VLOOKUP($A200,'[4]Ave FTE cost'!$A$490:$X$519,COLUMN('[4]Ave FTE cost'!$B$406),FALSE)</f>
        <v>239.67588781696938</v>
      </c>
      <c r="O200" s="209" t="s">
        <v>234</v>
      </c>
      <c r="Q200" s="216">
        <f t="shared" si="17"/>
        <v>-8.3292641209951057E-3</v>
      </c>
      <c r="R200" s="216">
        <f t="shared" si="17"/>
        <v>9.6510980876727048E-2</v>
      </c>
      <c r="S200" s="89">
        <f t="shared" si="17"/>
        <v>-6.7399351492875015E-3</v>
      </c>
      <c r="T200" s="89">
        <f t="shared" si="17"/>
        <v>4.9047631389679047E-2</v>
      </c>
      <c r="U200" s="89">
        <f t="shared" si="17"/>
        <v>1.5774745389296463E-4</v>
      </c>
      <c r="V200" s="89">
        <f t="shared" si="17"/>
        <v>2.0296594522567712E-2</v>
      </c>
      <c r="W200" s="89">
        <f t="shared" si="17"/>
        <v>2.0383629886455257E-2</v>
      </c>
      <c r="X200" s="89">
        <f t="shared" si="17"/>
        <v>2.5513461962690887E-2</v>
      </c>
      <c r="Y200" s="89">
        <f t="shared" si="17"/>
        <v>1.7556888317414199E-2</v>
      </c>
      <c r="Z200" s="89">
        <f t="shared" si="17"/>
        <v>6.9659438488978154E-4</v>
      </c>
      <c r="AA200" s="56">
        <f>VLOOKUP($O200,'[4]Ave FTE cost'!$A$492:$AZ$519,COLUMN('[4]Ave FTE cost'!$AF$490),FALSE)</f>
        <v>4.0221297329711359E-2</v>
      </c>
    </row>
    <row r="201" spans="1:27">
      <c r="A201" s="209" t="s">
        <v>235</v>
      </c>
      <c r="B201" s="47">
        <f>VLOOKUP($A201,'[4]Ave FTE cost'!A$9:X$32,COLUMN('[4]Ave FTE cost'!$B$7),FALSE)</f>
        <v>205.48552575361973</v>
      </c>
      <c r="C201" s="47">
        <f>VLOOKUP($A201,'[4]Ave FTE cost'!$A$55:$X$78,COLUMN('[4]Ave FTE cost'!$B$7),FALSE)</f>
        <v>208.26007742537311</v>
      </c>
      <c r="D201" s="47"/>
      <c r="E201" s="47"/>
      <c r="F201" s="47"/>
      <c r="G201" s="47"/>
      <c r="H201" s="47"/>
      <c r="I201" s="47"/>
      <c r="J201" s="47"/>
      <c r="K201" s="47"/>
      <c r="L201" s="47"/>
      <c r="M201" s="47"/>
      <c r="O201" s="209" t="s">
        <v>235</v>
      </c>
      <c r="Q201" s="89">
        <f t="shared" si="17"/>
        <v>1.3502419022350498E-2</v>
      </c>
      <c r="R201" s="89"/>
      <c r="S201" s="89"/>
      <c r="T201" s="89"/>
      <c r="U201" s="89"/>
      <c r="V201" s="89"/>
      <c r="W201" s="89"/>
      <c r="X201" s="89"/>
      <c r="Y201" s="89"/>
      <c r="Z201" s="89"/>
      <c r="AA201" s="56"/>
    </row>
    <row r="202" spans="1:27">
      <c r="A202" s="209" t="s">
        <v>236</v>
      </c>
      <c r="B202" s="47">
        <f>VLOOKUP($A202,'[4]Ave FTE cost'!A$9:X$32,COLUMN('[4]Ave FTE cost'!$B$7),FALSE)</f>
        <v>192.32458043414246</v>
      </c>
      <c r="C202" s="47">
        <f>VLOOKUP($A202,'[4]Ave FTE cost'!$A$55:$X$78,COLUMN('[4]Ave FTE cost'!$B$7),FALSE)</f>
        <v>236.51264221968449</v>
      </c>
      <c r="D202" s="47">
        <f>VLOOKUP($A202,'[4]Ave FTE cost'!$A$100:$X$122,COLUMN('[4]Ave FTE cost'!$B$7),FALSE)</f>
        <v>241.12458110293602</v>
      </c>
      <c r="E202" s="47">
        <f>VLOOKUP($A202,'[4]Ave FTE cost'!$A$144:$X$166,COLUMN('[4]Ave FTE cost'!$B$7),FALSE)</f>
        <v>250.85873721788153</v>
      </c>
      <c r="F202" s="47">
        <f>VLOOKUP($A202,'[4]Ave FTE cost'!$A$186:$X$214,COLUMN('[4]Ave FTE cost'!$B$7),FALSE)</f>
        <v>257.31219512195122</v>
      </c>
      <c r="G202" s="47">
        <f>VLOOKUP($A202,'[4]Ave FTE cost'!$A$231:$X$259,COLUMN('[4]Ave FTE cost'!$B$7),FALSE)</f>
        <v>265.36690647482015</v>
      </c>
      <c r="H202" s="47">
        <f>VLOOKUP($A202,'[4]Ave FTE cost'!$A$275:$X$303,COLUMN('[4]Ave FTE cost'!$B$7),FALSE)</f>
        <v>273.546875</v>
      </c>
      <c r="I202" s="47">
        <f>VLOOKUP($A202,'[4]Ave FTE cost'!$A$320:$X$347,COLUMN('[4]Ave FTE cost'!$B$7),FALSE)</f>
        <v>274.42131683695459</v>
      </c>
      <c r="J202" s="47">
        <f>VLOOKUP($A202,'[4]Ave FTE cost'!$A$364:$X$391,COLUMN('[4]Ave FTE cost'!$B$7),FALSE)</f>
        <v>292.98555089862896</v>
      </c>
      <c r="K202" s="47">
        <f>VLOOKUP($A202,'[4]Ave FTE cost'!$A$407:$X$434,COLUMN('[4]Ave FTE cost'!$B$406),FALSE)</f>
        <v>291.3611442193087</v>
      </c>
      <c r="L202" s="47">
        <f>VLOOKUP($A202,'[4]Ave FTE cost'!$A$448:$X$477,COLUMN('[4]Ave FTE cost'!$B$406),FALSE)</f>
        <v>302.59690844233057</v>
      </c>
      <c r="M202" s="47">
        <f>VLOOKUP($A202,'[4]Ave FTE cost'!$A$490:$X$519,COLUMN('[4]Ave FTE cost'!$B$406),FALSE)</f>
        <v>295.31054977711739</v>
      </c>
      <c r="O202" s="209" t="s">
        <v>236</v>
      </c>
      <c r="Q202" s="89">
        <f t="shared" si="17"/>
        <v>0.22975774436005247</v>
      </c>
      <c r="R202" s="89">
        <f t="shared" si="17"/>
        <v>1.9499756291960546E-2</v>
      </c>
      <c r="S202" s="89">
        <f t="shared" si="17"/>
        <v>4.0369820739222018E-2</v>
      </c>
      <c r="T202" s="89">
        <f t="shared" si="17"/>
        <v>2.5725465956023541E-2</v>
      </c>
      <c r="U202" s="89">
        <f t="shared" si="17"/>
        <v>3.1303263139360604E-2</v>
      </c>
      <c r="V202" s="89">
        <f t="shared" si="17"/>
        <v>3.0825126741853337E-2</v>
      </c>
      <c r="W202" s="89">
        <f t="shared" si="17"/>
        <v>3.1966800459870548E-3</v>
      </c>
      <c r="X202" s="89">
        <f t="shared" si="17"/>
        <v>6.764865891487637E-2</v>
      </c>
      <c r="Y202" s="89">
        <f t="shared" si="17"/>
        <v>-5.5443235147193404E-3</v>
      </c>
      <c r="Z202" s="89">
        <f t="shared" si="17"/>
        <v>3.8563015165003156E-2</v>
      </c>
      <c r="AA202" s="56">
        <f>VLOOKUP($O202,'[4]Ave FTE cost'!$A$492:$AZ$519,COLUMN('[4]Ave FTE cost'!$AF$490),FALSE)</f>
        <v>1.2060258624151832E-2</v>
      </c>
    </row>
    <row r="203" spans="1:27">
      <c r="A203" s="209" t="s">
        <v>237</v>
      </c>
      <c r="B203" s="47">
        <f>VLOOKUP($A203,'[4]Ave FTE cost'!A$9:X$32,COLUMN('[4]Ave FTE cost'!$B$7),FALSE)</f>
        <v>167.17147882792054</v>
      </c>
      <c r="C203" s="47">
        <f>VLOOKUP($A203,'[4]Ave FTE cost'!$A$55:$X$78,COLUMN('[4]Ave FTE cost'!$B$7),FALSE)</f>
        <v>169.64953674397194</v>
      </c>
      <c r="D203" s="47">
        <f>VLOOKUP($A203,'[4]Ave FTE cost'!$A$100:$X$122,COLUMN('[4]Ave FTE cost'!$B$7),FALSE)</f>
        <v>177.70481288771791</v>
      </c>
      <c r="E203" s="47">
        <f>VLOOKUP($A203,'[4]Ave FTE cost'!$A$144:$X$166,COLUMN('[4]Ave FTE cost'!$B$7),FALSE)</f>
        <v>180.09698524253133</v>
      </c>
      <c r="F203" s="47">
        <f>VLOOKUP($A203,'[4]Ave FTE cost'!$A$186:$X$214,COLUMN('[4]Ave FTE cost'!$B$7),FALSE)</f>
        <v>186.83533935519102</v>
      </c>
      <c r="G203" s="47">
        <f>VLOOKUP($A203,'[4]Ave FTE cost'!$A$231:$X$259,COLUMN('[4]Ave FTE cost'!$B$7),FALSE)</f>
        <v>198.65473190232032</v>
      </c>
      <c r="H203" s="47">
        <f>VLOOKUP($A203,'[4]Ave FTE cost'!$A$275:$X$303,COLUMN('[4]Ave FTE cost'!$B$7),FALSE)</f>
        <v>201.3685012179312</v>
      </c>
      <c r="I203" s="47">
        <f>VLOOKUP($A203,'[4]Ave FTE cost'!$A$320:$X$347,COLUMN('[4]Ave FTE cost'!$B$7),FALSE)</f>
        <v>207.99018271066262</v>
      </c>
      <c r="J203" s="47">
        <f>VLOOKUP($A203,'[4]Ave FTE cost'!$A$364:$X$391,COLUMN('[4]Ave FTE cost'!$B$7),FALSE)</f>
        <v>215.84130828501924</v>
      </c>
      <c r="K203" s="47">
        <f>VLOOKUP($A203,'[4]Ave FTE cost'!$A$407:$X$434,COLUMN('[4]Ave FTE cost'!$B$406),FALSE)</f>
        <v>223.45726252650087</v>
      </c>
      <c r="L203" s="47">
        <f>VLOOKUP($A203,'[4]Ave FTE cost'!$A$448:$X$477,COLUMN('[4]Ave FTE cost'!$B$406),FALSE)</f>
        <v>235.7781570124574</v>
      </c>
      <c r="M203" s="47">
        <f>VLOOKUP($A203,'[4]Ave FTE cost'!$A$490:$X$519,COLUMN('[4]Ave FTE cost'!$B$406),FALSE)</f>
        <v>230.29209924335743</v>
      </c>
      <c r="O203" s="209" t="s">
        <v>237</v>
      </c>
      <c r="Q203" s="89">
        <f t="shared" si="17"/>
        <v>1.4823449151886825E-2</v>
      </c>
      <c r="R203" s="89">
        <f t="shared" si="17"/>
        <v>4.7481863483674891E-2</v>
      </c>
      <c r="S203" s="89">
        <f t="shared" si="17"/>
        <v>1.3461494463433032E-2</v>
      </c>
      <c r="T203" s="89">
        <f t="shared" si="17"/>
        <v>3.7415141089593096E-2</v>
      </c>
      <c r="U203" s="89">
        <f t="shared" si="17"/>
        <v>6.3261011476311468E-2</v>
      </c>
      <c r="V203" s="89">
        <f t="shared" si="17"/>
        <v>1.3660733321697371E-2</v>
      </c>
      <c r="W203" s="89">
        <f t="shared" si="17"/>
        <v>3.2883402581246335E-2</v>
      </c>
      <c r="X203" s="89">
        <f t="shared" si="17"/>
        <v>3.7747577659847487E-2</v>
      </c>
      <c r="Y203" s="89">
        <f t="shared" si="17"/>
        <v>3.528497071294967E-2</v>
      </c>
      <c r="Z203" s="89">
        <f t="shared" si="17"/>
        <v>5.5137588041003216E-2</v>
      </c>
      <c r="AA203" s="56">
        <f>VLOOKUP($O203,'[4]Ave FTE cost'!$A$492:$AZ$519,COLUMN('[4]Ave FTE cost'!$AF$490),FALSE)</f>
        <v>1.5541590998144894E-3</v>
      </c>
    </row>
    <row r="204" spans="1:27">
      <c r="A204" s="209" t="s">
        <v>238</v>
      </c>
      <c r="B204" s="47">
        <f>VLOOKUP($A204,'[4]Ave FTE cost'!A$9:X$32,COLUMN('[4]Ave FTE cost'!$B$7),FALSE)</f>
        <v>181.86061573670111</v>
      </c>
      <c r="C204" s="47">
        <f>VLOOKUP($A204,'[4]Ave FTE cost'!$A$55:$X$78,COLUMN('[4]Ave FTE cost'!$B$7),FALSE)</f>
        <v>189.61318635826851</v>
      </c>
      <c r="D204" s="47">
        <f>VLOOKUP($A204,'[4]Ave FTE cost'!$A$100:$X$122,COLUMN('[4]Ave FTE cost'!$B$7),FALSE)</f>
        <v>193.79157796700375</v>
      </c>
      <c r="E204" s="47">
        <f>VLOOKUP($A204,'[4]Ave FTE cost'!$A$144:$X$166,COLUMN('[4]Ave FTE cost'!$B$7),FALSE)</f>
        <v>199.51957953096016</v>
      </c>
      <c r="F204" s="47">
        <f>VLOOKUP($A204,'[4]Ave FTE cost'!$A$186:$X$214,COLUMN('[4]Ave FTE cost'!$B$7),FALSE)</f>
        <v>197.72432488604301</v>
      </c>
      <c r="G204" s="47">
        <f>VLOOKUP($A204,'[4]Ave FTE cost'!$A$231:$X$259,COLUMN('[4]Ave FTE cost'!$B$7),FALSE)</f>
        <v>202.67369136976782</v>
      </c>
      <c r="H204" s="47">
        <f>VLOOKUP($A204,'[4]Ave FTE cost'!$A$275:$X$303,COLUMN('[4]Ave FTE cost'!$B$7),FALSE)</f>
        <v>208.57370101734347</v>
      </c>
      <c r="I204" s="47">
        <f>VLOOKUP($A204,'[4]Ave FTE cost'!$A$320:$X$347,COLUMN('[4]Ave FTE cost'!$B$7),FALSE)</f>
        <v>208.86995951031824</v>
      </c>
      <c r="J204" s="47">
        <f>VLOOKUP($A204,'[4]Ave FTE cost'!$A$364:$X$391,COLUMN('[4]Ave FTE cost'!$B$7),FALSE)</f>
        <v>218.76769987079496</v>
      </c>
      <c r="K204" s="47">
        <f>VLOOKUP($A204,'[4]Ave FTE cost'!$A$407:$X$434,COLUMN('[4]Ave FTE cost'!$B$406),FALSE)</f>
        <v>210.71415638880052</v>
      </c>
      <c r="L204" s="47">
        <f>VLOOKUP($A204,'[4]Ave FTE cost'!$A$448:$X$477,COLUMN('[4]Ave FTE cost'!$B$406),FALSE)</f>
        <v>214.86277778446427</v>
      </c>
      <c r="M204" s="47">
        <f>VLOOKUP($A204,'[4]Ave FTE cost'!$A$490:$X$519,COLUMN('[4]Ave FTE cost'!$B$406),FALSE)</f>
        <v>224.99512661393939</v>
      </c>
      <c r="O204" s="209" t="s">
        <v>238</v>
      </c>
      <c r="Q204" s="89">
        <f t="shared" si="17"/>
        <v>4.2629189339112417E-2</v>
      </c>
      <c r="R204" s="89">
        <f t="shared" si="17"/>
        <v>2.2036397831743049E-2</v>
      </c>
      <c r="S204" s="89">
        <f t="shared" si="17"/>
        <v>2.9557536111975313E-2</v>
      </c>
      <c r="T204" s="89">
        <f t="shared" si="17"/>
        <v>-8.9978870702189795E-3</v>
      </c>
      <c r="U204" s="89">
        <f t="shared" si="17"/>
        <v>2.5031651955708334E-2</v>
      </c>
      <c r="V204" s="89">
        <f t="shared" si="17"/>
        <v>2.9110880685601082E-2</v>
      </c>
      <c r="W204" s="89">
        <f t="shared" si="17"/>
        <v>1.4204019563814896E-3</v>
      </c>
      <c r="X204" s="89">
        <f t="shared" si="17"/>
        <v>4.7387093786398493E-2</v>
      </c>
      <c r="Y204" s="89">
        <f t="shared" si="17"/>
        <v>-3.681322008116783E-2</v>
      </c>
      <c r="Z204" s="89">
        <f t="shared" si="17"/>
        <v>1.9688384808892012E-2</v>
      </c>
      <c r="AA204" s="56">
        <f>VLOOKUP($O204,'[4]Ave FTE cost'!$A$492:$AZ$519,COLUMN('[4]Ave FTE cost'!$AF$490),FALSE)</f>
        <v>5.7011758594069484E-2</v>
      </c>
    </row>
    <row r="205" spans="1:27">
      <c r="A205" s="209" t="s">
        <v>239</v>
      </c>
      <c r="B205" s="47">
        <f>VLOOKUP($A205,'[4]Ave FTE cost'!A$9:X$32,COLUMN('[4]Ave FTE cost'!$B$7),FALSE)</f>
        <v>214.36298799300147</v>
      </c>
      <c r="C205" s="47">
        <f>VLOOKUP($A205,'[4]Ave FTE cost'!$A$55:$X$78,COLUMN('[4]Ave FTE cost'!$B$7),FALSE)</f>
        <v>229.39504669102723</v>
      </c>
      <c r="D205" s="47">
        <f>VLOOKUP($A205,'[4]Ave FTE cost'!$A$100:$X$122,COLUMN('[4]Ave FTE cost'!$B$7),FALSE)</f>
        <v>228.75548120316793</v>
      </c>
      <c r="E205" s="47">
        <f>VLOOKUP($A205,'[4]Ave FTE cost'!$A$144:$X$166,COLUMN('[4]Ave FTE cost'!$B$7),FALSE)</f>
        <v>216.86011842853378</v>
      </c>
      <c r="F205" s="47">
        <f>VLOOKUP($A205,'[4]Ave FTE cost'!$A$186:$X$214,COLUMN('[4]Ave FTE cost'!$B$7),FALSE)</f>
        <v>216.86074828425947</v>
      </c>
      <c r="G205" s="47">
        <f>VLOOKUP($A205,'[4]Ave FTE cost'!$A$231:$X$259,COLUMN('[4]Ave FTE cost'!$B$7),FALSE)</f>
        <v>226.68277730655842</v>
      </c>
      <c r="H205" s="47">
        <f>VLOOKUP($A205,'[4]Ave FTE cost'!$A$275:$X$303,COLUMN('[4]Ave FTE cost'!$B$7),FALSE)</f>
        <v>224.0203886588086</v>
      </c>
      <c r="I205" s="47">
        <f>VLOOKUP($A205,'[4]Ave FTE cost'!$A$320:$X$347,COLUMN('[4]Ave FTE cost'!$B$7),FALSE)</f>
        <v>237.24137362886316</v>
      </c>
      <c r="J205" s="47">
        <f>VLOOKUP($A205,'[4]Ave FTE cost'!$A$364:$X$391,COLUMN('[4]Ave FTE cost'!$B$7),FALSE)</f>
        <v>254.55784581831048</v>
      </c>
      <c r="K205" s="47">
        <f>VLOOKUP($A205,'[4]Ave FTE cost'!$A$407:$X$434,COLUMN('[4]Ave FTE cost'!$B$406),FALSE)</f>
        <v>249.79826866717261</v>
      </c>
      <c r="L205" s="47">
        <f>VLOOKUP($A205,'[4]Ave FTE cost'!$A$448:$X$477,COLUMN('[4]Ave FTE cost'!$B$406),FALSE)</f>
        <v>266.21800009224489</v>
      </c>
      <c r="M205" s="47">
        <f>VLOOKUP($A205,'[4]Ave FTE cost'!$A$490:$X$519,COLUMN('[4]Ave FTE cost'!$B$406),FALSE)</f>
        <v>272.41602371430474</v>
      </c>
      <c r="O205" s="209" t="s">
        <v>239</v>
      </c>
      <c r="Q205" s="89">
        <f t="shared" si="17"/>
        <v>7.0124319682073777E-2</v>
      </c>
      <c r="R205" s="89">
        <f t="shared" si="17"/>
        <v>-2.7880527373406183E-3</v>
      </c>
      <c r="S205" s="89">
        <f t="shared" si="17"/>
        <v>-5.2000339891612679E-2</v>
      </c>
      <c r="T205" s="89">
        <f t="shared" si="17"/>
        <v>2.9044331906202814E-6</v>
      </c>
      <c r="U205" s="89">
        <f t="shared" si="17"/>
        <v>4.5291870935649126E-2</v>
      </c>
      <c r="V205" s="89">
        <f t="shared" si="17"/>
        <v>-1.1744997477904029E-2</v>
      </c>
      <c r="W205" s="89">
        <f t="shared" si="17"/>
        <v>5.9016882566839124E-2</v>
      </c>
      <c r="X205" s="89">
        <f t="shared" si="17"/>
        <v>7.2990945569793242E-2</v>
      </c>
      <c r="Y205" s="89">
        <f t="shared" si="17"/>
        <v>-1.8697428617207135E-2</v>
      </c>
      <c r="Z205" s="89">
        <f t="shared" si="17"/>
        <v>6.5731966489126048E-2</v>
      </c>
      <c r="AA205" s="56">
        <f>VLOOKUP($O205,'[4]Ave FTE cost'!$A$492:$AZ$519,COLUMN('[4]Ave FTE cost'!$AF$490),FALSE)</f>
        <v>3.9788454019381803E-2</v>
      </c>
    </row>
    <row r="206" spans="1:27">
      <c r="A206" s="209" t="s">
        <v>240</v>
      </c>
      <c r="B206" s="47">
        <f>VLOOKUP($A206,'[4]Ave FTE cost'!A$9:X$32,COLUMN('[4]Ave FTE cost'!$B$7),FALSE)</f>
        <v>148.85551814641801</v>
      </c>
      <c r="C206" s="47">
        <f>VLOOKUP($A206,'[4]Ave FTE cost'!$A$55:$X$78,COLUMN('[4]Ave FTE cost'!$B$7),FALSE)</f>
        <v>175.95177966653264</v>
      </c>
      <c r="D206" s="47">
        <f>VLOOKUP($A206,'[4]Ave FTE cost'!$A$100:$X$122,COLUMN('[4]Ave FTE cost'!$B$7),FALSE)</f>
        <v>165.36952547079022</v>
      </c>
      <c r="E206" s="47">
        <f>VLOOKUP($A206,'[4]Ave FTE cost'!$A$144:$X$166,COLUMN('[4]Ave FTE cost'!$B$7),FALSE)</f>
        <v>172.72571980874594</v>
      </c>
      <c r="F206" s="47">
        <f>VLOOKUP($A206,'[4]Ave FTE cost'!$A$186:$X$214,COLUMN('[4]Ave FTE cost'!$B$7),FALSE)</f>
        <v>167.6852993571556</v>
      </c>
      <c r="G206" s="47">
        <f>VLOOKUP($A206,'[4]Ave FTE cost'!$A$231:$X$259,COLUMN('[4]Ave FTE cost'!$B$7),FALSE)</f>
        <v>173.88052555450838</v>
      </c>
      <c r="H206" s="47">
        <f>VLOOKUP($A206,'[4]Ave FTE cost'!$A$275:$X$303,COLUMN('[4]Ave FTE cost'!$B$7),FALSE)</f>
        <v>172.40628062783284</v>
      </c>
      <c r="I206" s="47">
        <f>VLOOKUP($A206,'[4]Ave FTE cost'!$A$320:$X$347,COLUMN('[4]Ave FTE cost'!$B$7),FALSE)</f>
        <v>186.94641819795868</v>
      </c>
      <c r="J206" s="47">
        <f>VLOOKUP($A206,'[4]Ave FTE cost'!$A$364:$X$391,COLUMN('[4]Ave FTE cost'!$B$7),FALSE)</f>
        <v>191.91546242570084</v>
      </c>
      <c r="K206" s="47">
        <f>VLOOKUP($A206,'[4]Ave FTE cost'!$A$407:$X$434,COLUMN('[4]Ave FTE cost'!$B$406),FALSE)</f>
        <v>186.24084554227892</v>
      </c>
      <c r="L206" s="47">
        <f>VLOOKUP($A206,'[4]Ave FTE cost'!$A$448:$X$477,COLUMN('[4]Ave FTE cost'!$B$406),FALSE)</f>
        <v>188.22092331203041</v>
      </c>
      <c r="M206" s="47">
        <f>VLOOKUP($A206,'[4]Ave FTE cost'!$A$490:$X$519,COLUMN('[4]Ave FTE cost'!$B$406),FALSE)</f>
        <v>207.61651382626812</v>
      </c>
      <c r="O206" s="209" t="s">
        <v>240</v>
      </c>
      <c r="Q206" s="89">
        <f t="shared" si="17"/>
        <v>0.18203061503881957</v>
      </c>
      <c r="R206" s="89">
        <f t="shared" si="17"/>
        <v>-6.0142922201742555E-2</v>
      </c>
      <c r="S206" s="89">
        <f t="shared" si="17"/>
        <v>4.4483373324156084E-2</v>
      </c>
      <c r="T206" s="89">
        <f t="shared" si="17"/>
        <v>-2.9181643921770584E-2</v>
      </c>
      <c r="U206" s="89">
        <f t="shared" si="17"/>
        <v>3.6945553492780947E-2</v>
      </c>
      <c r="V206" s="89">
        <f t="shared" si="17"/>
        <v>-8.4784936206866446E-3</v>
      </c>
      <c r="W206" s="89">
        <f t="shared" si="17"/>
        <v>8.4336472645756499E-2</v>
      </c>
      <c r="X206" s="89">
        <f t="shared" si="17"/>
        <v>2.6580045104048988E-2</v>
      </c>
      <c r="Y206" s="89">
        <f t="shared" si="17"/>
        <v>-2.9568315193044037E-2</v>
      </c>
      <c r="Z206" s="89">
        <f t="shared" si="17"/>
        <v>1.0631812607948987E-2</v>
      </c>
      <c r="AA206" s="56">
        <f>VLOOKUP($O206,'[4]Ave FTE cost'!$A$492:$AZ$519,COLUMN('[4]Ave FTE cost'!$AF$490),FALSE)</f>
        <v>0.11644370001141091</v>
      </c>
    </row>
    <row r="207" spans="1:27">
      <c r="A207" s="209" t="s">
        <v>241</v>
      </c>
      <c r="B207" s="47">
        <f>VLOOKUP($A207,'[4]Ave FTE cost'!A$9:X$32,COLUMN('[4]Ave FTE cost'!$B$7),FALSE)</f>
        <v>298.54832485065987</v>
      </c>
      <c r="C207" s="47">
        <f>VLOOKUP($A207,'[4]Ave FTE cost'!$A$55:$X$78,COLUMN('[4]Ave FTE cost'!$B$7),FALSE)</f>
        <v>286.80249468319749</v>
      </c>
      <c r="D207" s="47">
        <f>VLOOKUP($A207,'[4]Ave FTE cost'!$A$100:$X$122,COLUMN('[4]Ave FTE cost'!$B$7),FALSE)</f>
        <v>283.5303688076728</v>
      </c>
      <c r="E207" s="47">
        <f>VLOOKUP($A207,'[4]Ave FTE cost'!$A$144:$X$166,COLUMN('[4]Ave FTE cost'!$B$7),FALSE)</f>
        <v>279.98231690630064</v>
      </c>
      <c r="F207" s="47">
        <f>VLOOKUP($A207,'[4]Ave FTE cost'!$A$186:$X$214,COLUMN('[4]Ave FTE cost'!$B$7),FALSE)</f>
        <v>304.28681321242925</v>
      </c>
      <c r="G207" s="47">
        <f>VLOOKUP($A207,'[4]Ave FTE cost'!$A$231:$X$259,COLUMN('[4]Ave FTE cost'!$B$7),FALSE)</f>
        <v>316.57414095552582</v>
      </c>
      <c r="H207" s="47">
        <f>VLOOKUP($A207,'[4]Ave FTE cost'!$A$275:$X$303,COLUMN('[4]Ave FTE cost'!$B$7),FALSE)</f>
        <v>289.29248662087565</v>
      </c>
      <c r="I207" s="47">
        <f>VLOOKUP($A207,'[4]Ave FTE cost'!$A$320:$X$347,COLUMN('[4]Ave FTE cost'!$B$7),FALSE)</f>
        <v>296.50416793959761</v>
      </c>
      <c r="J207" s="47">
        <f>VLOOKUP($A207,'[4]Ave FTE cost'!$A$364:$X$391,COLUMN('[4]Ave FTE cost'!$B$7),FALSE)</f>
        <v>285.85332242366826</v>
      </c>
      <c r="K207" s="47">
        <f>VLOOKUP($A207,'[4]Ave FTE cost'!$A$407:$X$434,COLUMN('[4]Ave FTE cost'!$B$406),FALSE)</f>
        <v>281.11005748411185</v>
      </c>
      <c r="L207" s="47">
        <f>VLOOKUP($A207,'[4]Ave FTE cost'!$A$448:$X$477,COLUMN('[4]Ave FTE cost'!$B$406),FALSE)</f>
        <v>278.64510471439542</v>
      </c>
      <c r="M207" s="47">
        <f>VLOOKUP($A207,'[4]Ave FTE cost'!$A$490:$X$519,COLUMN('[4]Ave FTE cost'!$B$406),FALSE)</f>
        <v>309.3415433668028</v>
      </c>
      <c r="O207" s="209" t="s">
        <v>241</v>
      </c>
      <c r="Q207" s="89">
        <f t="shared" si="17"/>
        <v>-3.9343145446680605E-2</v>
      </c>
      <c r="R207" s="89">
        <f t="shared" si="17"/>
        <v>-1.1408986798176479E-2</v>
      </c>
      <c r="S207" s="89">
        <f t="shared" si="17"/>
        <v>-1.2513833760710469E-2</v>
      </c>
      <c r="T207" s="89">
        <f t="shared" si="17"/>
        <v>8.6807254739099893E-2</v>
      </c>
      <c r="U207" s="89">
        <f t="shared" si="17"/>
        <v>4.0380743461658097E-2</v>
      </c>
      <c r="V207" s="89">
        <f t="shared" si="17"/>
        <v>-8.6177772613723502E-2</v>
      </c>
      <c r="W207" s="89">
        <f t="shared" si="17"/>
        <v>2.4928685162062481E-2</v>
      </c>
      <c r="X207" s="89">
        <f t="shared" si="17"/>
        <v>-3.5921402353099707E-2</v>
      </c>
      <c r="Y207" s="89">
        <f t="shared" si="17"/>
        <v>-1.6593352490499758E-2</v>
      </c>
      <c r="Z207" s="89">
        <f t="shared" si="17"/>
        <v>-8.7686395562555086E-3</v>
      </c>
      <c r="AA207" s="56">
        <f>VLOOKUP($O207,'[4]Ave FTE cost'!$A$492:$AZ$519,COLUMN('[4]Ave FTE cost'!$AF$490),FALSE)</f>
        <v>8.6395822084262885E-2</v>
      </c>
    </row>
    <row r="208" spans="1:27">
      <c r="A208" s="210" t="s">
        <v>242</v>
      </c>
      <c r="B208" s="217">
        <f>VLOOKUP($A208,'[4]Ave FTE cost'!A$9:X$32,COLUMN('[4]Ave FTE cost'!$B$7),FALSE)</f>
        <v>211.9023526256108</v>
      </c>
      <c r="C208" s="217">
        <f>VLOOKUP($A208,'[4]Ave FTE cost'!$A$55:$X$78,COLUMN('[4]Ave FTE cost'!$B$7),FALSE)</f>
        <v>216.09073300407738</v>
      </c>
      <c r="D208" s="217">
        <f>VLOOKUP($A208,'[4]Ave FTE cost'!$A$100:$X$122,COLUMN('[4]Ave FTE cost'!$B$7),FALSE)</f>
        <v>212.78059150878508</v>
      </c>
      <c r="E208" s="217">
        <f>VLOOKUP($A208,'[4]Ave FTE cost'!$A$144:$X$166,COLUMN('[4]Ave FTE cost'!$B$7),FALSE)</f>
        <v>208.80613107206341</v>
      </c>
      <c r="F208" s="217">
        <f>VLOOKUP($A208,'[4]Ave FTE cost'!$A$186:$X$214,COLUMN('[4]Ave FTE cost'!$B$7),FALSE)</f>
        <v>209.34471619750806</v>
      </c>
      <c r="G208" s="217">
        <f>VLOOKUP($A208,'[4]Ave FTE cost'!$A$231:$X$259,COLUMN('[4]Ave FTE cost'!$B$7),FALSE)</f>
        <v>212.1706945351622</v>
      </c>
      <c r="H208" s="217">
        <f>VLOOKUP($A208,'[4]Ave FTE cost'!$A$275:$X$303,COLUMN('[4]Ave FTE cost'!$B$7),FALSE)</f>
        <v>215.90334465072598</v>
      </c>
      <c r="I208" s="217">
        <f>VLOOKUP($A208,'[4]Ave FTE cost'!$A$320:$X$347,COLUMN('[4]Ave FTE cost'!$B$7),FALSE)</f>
        <v>214.64973711251187</v>
      </c>
      <c r="J208" s="217">
        <f>VLOOKUP($A208,'[4]Ave FTE cost'!$A$364:$X$391,COLUMN('[4]Ave FTE cost'!$B$7),FALSE)</f>
        <v>221.68402267827554</v>
      </c>
      <c r="K208" s="217">
        <f>VLOOKUP($A208,'[4]Ave FTE cost'!$A$407:$X$434,COLUMN('[4]Ave FTE cost'!$B$406),FALSE)</f>
        <v>217.68808719925013</v>
      </c>
      <c r="L208" s="217">
        <f>VLOOKUP($A208,'[4]Ave FTE cost'!$A$448:$X$477,COLUMN('[4]Ave FTE cost'!$B$406),FALSE)</f>
        <v>226.57028715220886</v>
      </c>
      <c r="M208" s="217">
        <f>VLOOKUP($A208,'[4]Ave FTE cost'!$A$490:$X$519,COLUMN('[4]Ave FTE cost'!$B$406),FALSE)</f>
        <v>225.86336588033447</v>
      </c>
      <c r="O208" s="210" t="s">
        <v>242</v>
      </c>
      <c r="P208" s="119"/>
      <c r="Q208" s="211">
        <f t="shared" si="17"/>
        <v>1.9765615277838045E-2</v>
      </c>
      <c r="R208" s="211">
        <f t="shared" si="17"/>
        <v>-1.5318294538941846E-2</v>
      </c>
      <c r="S208" s="211">
        <f t="shared" si="17"/>
        <v>-1.8678679331322279E-2</v>
      </c>
      <c r="T208" s="211">
        <f t="shared" si="17"/>
        <v>2.5793549388584136E-3</v>
      </c>
      <c r="U208" s="211">
        <f t="shared" si="17"/>
        <v>1.3499162477011994E-2</v>
      </c>
      <c r="V208" s="211">
        <f t="shared" si="17"/>
        <v>1.7592675198342178E-2</v>
      </c>
      <c r="W208" s="211">
        <f t="shared" si="17"/>
        <v>-5.8063368135501392E-3</v>
      </c>
      <c r="X208" s="211">
        <f t="shared" si="17"/>
        <v>3.277099548496798E-2</v>
      </c>
      <c r="Y208" s="211">
        <f t="shared" si="17"/>
        <v>-1.8025365250722625E-2</v>
      </c>
      <c r="Z208" s="211">
        <f t="shared" si="17"/>
        <v>4.0802416279347664E-2</v>
      </c>
      <c r="AA208" s="221">
        <f>VLOOKUP($O208,'[4]Ave FTE cost'!$A$492:$AZ$519,COLUMN('[4]Ave FTE cost'!$AF$490),FALSE)</f>
        <v>1.7067386383969652E-2</v>
      </c>
    </row>
    <row r="209" spans="1:27">
      <c r="A209" s="213" t="s">
        <v>156</v>
      </c>
      <c r="B209" s="47">
        <f>VLOOKUP($A209,'[4]Ave FTE cost'!A$9:X$32,COLUMN('[4]Ave FTE cost'!$B$7),FALSE)</f>
        <v>163.58240398256234</v>
      </c>
      <c r="C209" s="47">
        <f>VLOOKUP($A209,'[4]Ave FTE cost'!$A$55:$X$78,COLUMN('[4]Ave FTE cost'!$B$7),FALSE)</f>
        <v>172.42431260513081</v>
      </c>
      <c r="D209" s="47">
        <f>VLOOKUP($A209,'[4]Ave FTE cost'!$A$100:$X$122,COLUMN('[4]Ave FTE cost'!$B$7),FALSE)</f>
        <v>178.48421395463976</v>
      </c>
      <c r="E209" s="47">
        <f>VLOOKUP($A209,'[4]Ave FTE cost'!$A$144:$X$166,COLUMN('[4]Ave FTE cost'!$B$7),FALSE)</f>
        <v>178.97341032394419</v>
      </c>
      <c r="F209" s="47">
        <f>VLOOKUP($A209,'[4]Ave FTE cost'!$A$186:$X$214,COLUMN('[4]Ave FTE cost'!$B$7),FALSE)</f>
        <v>184.45844761360399</v>
      </c>
      <c r="G209" s="47">
        <f>VLOOKUP($A209,'[4]Ave FTE cost'!$A$231:$X$259,COLUMN('[4]Ave FTE cost'!$B$7),FALSE)</f>
        <v>187.17602943990451</v>
      </c>
      <c r="H209" s="47">
        <f>VLOOKUP($A209,'[4]Ave FTE cost'!$A$275:$X$303,COLUMN('[4]Ave FTE cost'!$B$7),FALSE)</f>
        <v>188.79107949168508</v>
      </c>
      <c r="I209" s="47">
        <f>VLOOKUP($A209,'[4]Ave FTE cost'!$A$320:$X$347,COLUMN('[4]Ave FTE cost'!$B$7),FALSE)</f>
        <v>193.40574090562257</v>
      </c>
      <c r="J209" s="47">
        <f>VLOOKUP($A209,'[4]Ave FTE cost'!$A$364:$X$391,COLUMN('[4]Ave FTE cost'!$B$7),FALSE)</f>
        <v>199.99716129426733</v>
      </c>
      <c r="K209" s="47">
        <f>VLOOKUP($A209,'[4]Ave FTE cost'!$A$407:$X$434,COLUMN('[4]Ave FTE cost'!$B$406),FALSE)</f>
        <v>202.09919934584261</v>
      </c>
      <c r="L209" s="47">
        <f>VLOOKUP($A209,'[4]Ave FTE cost'!$A$448:$X$477,COLUMN('[4]Ave FTE cost'!$B$406),FALSE)</f>
        <v>203.39322825998539</v>
      </c>
      <c r="M209" s="47">
        <f>VLOOKUP($A209,'[4]Ave FTE cost'!$A$490:$X$519,COLUMN('[4]Ave FTE cost'!$B$406),FALSE)</f>
        <v>212.37626582041008</v>
      </c>
      <c r="O209" s="213" t="s">
        <v>156</v>
      </c>
      <c r="Q209" s="89">
        <f t="shared" si="17"/>
        <v>5.4051709764034284E-2</v>
      </c>
      <c r="R209" s="89">
        <f t="shared" si="17"/>
        <v>3.5145283504111946E-2</v>
      </c>
      <c r="S209" s="89">
        <f t="shared" si="17"/>
        <v>2.7408382986113811E-3</v>
      </c>
      <c r="T209" s="89">
        <f t="shared" si="17"/>
        <v>3.0647218934543474E-2</v>
      </c>
      <c r="U209" s="89">
        <f t="shared" si="17"/>
        <v>1.4732758848720273E-2</v>
      </c>
      <c r="V209" s="89">
        <f t="shared" si="17"/>
        <v>8.6285089849023056E-3</v>
      </c>
      <c r="W209" s="89">
        <f t="shared" si="17"/>
        <v>2.4443217478083978E-2</v>
      </c>
      <c r="X209" s="89">
        <f t="shared" si="17"/>
        <v>3.4080789731372185E-2</v>
      </c>
      <c r="Y209" s="89">
        <f t="shared" si="17"/>
        <v>1.0510339436680338E-2</v>
      </c>
      <c r="Z209" s="89">
        <f t="shared" si="17"/>
        <v>6.4029393403404189E-3</v>
      </c>
      <c r="AA209" s="56">
        <f>VLOOKUP($O209,'[4]Ave FTE cost'!$A$492:$AZ$519,COLUMN('[4]Ave FTE cost'!$AF$490),FALSE)</f>
        <v>5.3059560405601891E-2</v>
      </c>
    </row>
    <row r="210" spans="1:27">
      <c r="D210" s="101"/>
      <c r="E210" s="101"/>
      <c r="F210" s="101"/>
      <c r="G210" s="101"/>
      <c r="H210" s="101"/>
      <c r="I210" s="101"/>
      <c r="J210" s="101"/>
    </row>
    <row r="211" spans="1:27">
      <c r="A211" s="204" t="s">
        <v>262</v>
      </c>
      <c r="K211" s="9"/>
      <c r="L211" s="9"/>
      <c r="M211" s="222"/>
      <c r="O211" s="109" t="s">
        <v>260</v>
      </c>
      <c r="Y211" s="9"/>
    </row>
    <row r="212" spans="1:27">
      <c r="A212" s="209" t="s">
        <v>221</v>
      </c>
      <c r="B212" s="47">
        <f>VLOOKUP($A212,'[4]Ave FTE cost'!A$9:X$32,COLUMN('[4]Ave FTE cost'!$F$7),FALSE)</f>
        <v>66.12677448621146</v>
      </c>
      <c r="C212" s="47">
        <f>VLOOKUP($A212,'[4]Ave FTE cost'!$A$55:$X$78,COLUMN('[4]Ave FTE cost'!$F$7),FALSE)</f>
        <v>70.661480938369877</v>
      </c>
      <c r="D212" s="47">
        <f>VLOOKUP($A212,'[4]Ave FTE cost'!$A$100:$X$122,COLUMN('[4]Ave FTE cost'!$F$7),FALSE)</f>
        <v>72.807223810581917</v>
      </c>
      <c r="E212" s="57">
        <f>VLOOKUP($A212,'[4]Ave FTE cost'!$A$144:$X$166,COLUMN('[4]Ave FTE cost'!$F$7),FALSE)</f>
        <v>74.074162779025514</v>
      </c>
      <c r="F212" s="57">
        <f>VLOOKUP($A212,'[4]Ave FTE cost'!$A$186:$X$214,COLUMN('[4]Ave FTE cost'!$F$7),FALSE)</f>
        <v>77.483851390670168</v>
      </c>
      <c r="G212" s="57">
        <f>VLOOKUP($A212,'[4]Ave FTE cost'!$A$231:$X$259,COLUMN('[4]Ave FTE cost'!$F$7),FALSE)</f>
        <v>74.951558591234388</v>
      </c>
      <c r="H212" s="47">
        <f>VLOOKUP($A212,'[4]Ave FTE cost'!$A$275:$X$303,COLUMN('[4]Ave FTE cost'!$F$7),FALSE)</f>
        <v>81.428807218651741</v>
      </c>
      <c r="I212" s="47">
        <f>VLOOKUP($A212,'[4]Ave FTE cost'!$A$320:$X$347,COLUMN('[4]Ave FTE cost'!$F$7),FALSE)</f>
        <v>81.304719441703043</v>
      </c>
      <c r="J212" s="47">
        <f>VLOOKUP($A212,'[4]Ave FTE cost'!$A$364:$X$391,COLUMN('[4]Ave FTE cost'!$F$7),FALSE)</f>
        <v>85.084732928031926</v>
      </c>
      <c r="K212" s="47">
        <f>VLOOKUP($A212,'[4]Ave FTE cost'!$A$407:$X$434,COLUMN('[4]Ave FTE cost'!$F$406),FALSE)</f>
        <v>85.438764814176253</v>
      </c>
      <c r="L212" s="47">
        <f>VLOOKUP($A212,'[4]Ave FTE cost'!$A$448:$X$477,COLUMN('[4]Ave FTE cost'!$F$406),FALSE)</f>
        <v>87.934711730424553</v>
      </c>
      <c r="M212" s="47">
        <f>VLOOKUP($A212,'[4]Ave FTE cost'!$A$490:$X$519,COLUMN('[4]Ave FTE cost'!$F$406),FALSE)</f>
        <v>87.602867655764626</v>
      </c>
      <c r="O212" s="209" t="s">
        <v>221</v>
      </c>
      <c r="Q212" s="89">
        <f>C212/B212-1</f>
        <v>6.8575951078696296E-2</v>
      </c>
      <c r="R212" s="89">
        <f t="shared" ref="R212:Z222" si="18">D212/C212-1</f>
        <v>3.0366514311857218E-2</v>
      </c>
      <c r="S212" s="89">
        <f t="shared" si="18"/>
        <v>1.7401281111057321E-2</v>
      </c>
      <c r="T212" s="89">
        <f t="shared" si="18"/>
        <v>4.6030741134615027E-2</v>
      </c>
      <c r="U212" s="89">
        <f t="shared" si="18"/>
        <v>-3.2681555627224412E-2</v>
      </c>
      <c r="V212" s="89">
        <f t="shared" si="18"/>
        <v>8.6419131892140122E-2</v>
      </c>
      <c r="W212" s="89">
        <f t="shared" si="18"/>
        <v>-1.5238805674200329E-3</v>
      </c>
      <c r="X212" s="89">
        <f t="shared" si="18"/>
        <v>4.6491931984824264E-2</v>
      </c>
      <c r="Y212" s="89">
        <f t="shared" si="18"/>
        <v>4.1609331540568562E-3</v>
      </c>
      <c r="Z212" s="89">
        <f t="shared" si="18"/>
        <v>2.9213284176998755E-2</v>
      </c>
      <c r="AA212" s="56">
        <f>VLOOKUP($O212,'[4]Ave FTE cost'!$A$492:$AZ$519,COLUMN('[4]Ave FTE cost'!$AJ$490),FALSE)</f>
        <v>2.969201771758212E-2</v>
      </c>
    </row>
    <row r="213" spans="1:27">
      <c r="A213" s="209" t="s">
        <v>222</v>
      </c>
      <c r="B213" s="47">
        <f>VLOOKUP($A213,'[4]Ave FTE cost'!A$9:X$32,COLUMN('[4]Ave FTE cost'!$F$7),FALSE)</f>
        <v>67.391073910407528</v>
      </c>
      <c r="C213" s="47">
        <f>VLOOKUP($A213,'[4]Ave FTE cost'!$A$55:$X$78,COLUMN('[4]Ave FTE cost'!$F$7),FALSE)</f>
        <v>70.938441027840938</v>
      </c>
      <c r="D213" s="47">
        <f>VLOOKUP($A213,'[4]Ave FTE cost'!$A$100:$X$122,COLUMN('[4]Ave FTE cost'!$F$7),FALSE)</f>
        <v>71.726753484121545</v>
      </c>
      <c r="E213" s="47">
        <f>VLOOKUP($A213,'[4]Ave FTE cost'!$A$144:$X$166,COLUMN('[4]Ave FTE cost'!$F$7),FALSE)</f>
        <v>73.29757554899102</v>
      </c>
      <c r="F213" s="47">
        <f>VLOOKUP($A213,'[4]Ave FTE cost'!$A$186:$X$214,COLUMN('[4]Ave FTE cost'!$F$7),FALSE)</f>
        <v>77.983002832861189</v>
      </c>
      <c r="G213" s="47">
        <f>VLOOKUP($A213,'[4]Ave FTE cost'!$A$231:$X$259,COLUMN('[4]Ave FTE cost'!$F$7),FALSE)</f>
        <v>77.937142857142859</v>
      </c>
      <c r="H213" s="47">
        <f>VLOOKUP($A213,'[4]Ave FTE cost'!$A$275:$X$303,COLUMN('[4]Ave FTE cost'!$F$7),FALSE)</f>
        <v>81.90115163147793</v>
      </c>
      <c r="I213" s="47">
        <f>VLOOKUP($A213,'[4]Ave FTE cost'!$A$320:$X$347,COLUMN('[4]Ave FTE cost'!$F$7),FALSE)</f>
        <v>83.37110481586403</v>
      </c>
      <c r="J213" s="47">
        <f>VLOOKUP($A213,'[4]Ave FTE cost'!$A$364:$X$391,COLUMN('[4]Ave FTE cost'!$F$7),FALSE)</f>
        <v>79.207438255888874</v>
      </c>
      <c r="K213" s="47">
        <f>VLOOKUP($A213,'[4]Ave FTE cost'!$A$407:$X$434,COLUMN('[4]Ave FTE cost'!$F$406),FALSE)</f>
        <v>79.316055639511788</v>
      </c>
      <c r="L213" s="47">
        <f>VLOOKUP($A213,'[4]Ave FTE cost'!$A$448:$X$477,COLUMN('[4]Ave FTE cost'!$F$406),FALSE)</f>
        <v>82.094264560265771</v>
      </c>
      <c r="M213" s="47">
        <f>VLOOKUP($A213,'[4]Ave FTE cost'!$A$490:$X$519,COLUMN('[4]Ave FTE cost'!$F$406),FALSE)</f>
        <v>85.229993274891484</v>
      </c>
      <c r="O213" s="209" t="s">
        <v>222</v>
      </c>
      <c r="Q213" s="89">
        <f t="shared" ref="Q213:Z234" si="19">C213/B213-1</f>
        <v>5.2638530766692115E-2</v>
      </c>
      <c r="R213" s="89">
        <f t="shared" si="18"/>
        <v>1.1112627298522471E-2</v>
      </c>
      <c r="S213" s="89">
        <f t="shared" si="18"/>
        <v>2.1900085931216839E-2</v>
      </c>
      <c r="T213" s="89">
        <f t="shared" si="18"/>
        <v>6.392335965789897E-2</v>
      </c>
      <c r="U213" s="89">
        <f t="shared" si="18"/>
        <v>-5.8807655581849527E-4</v>
      </c>
      <c r="V213" s="89">
        <f t="shared" si="18"/>
        <v>5.0861612692179481E-2</v>
      </c>
      <c r="W213" s="89">
        <f t="shared" si="18"/>
        <v>1.7947893956367089E-2</v>
      </c>
      <c r="X213" s="89">
        <f t="shared" si="18"/>
        <v>-4.9941362408128742E-2</v>
      </c>
      <c r="Y213" s="89">
        <f t="shared" si="18"/>
        <v>1.371302822242626E-3</v>
      </c>
      <c r="Z213" s="89">
        <f t="shared" si="18"/>
        <v>3.5027068584711607E-2</v>
      </c>
      <c r="AA213" s="56">
        <f>VLOOKUP($O213,'[4]Ave FTE cost'!$A$492:$AZ$519,COLUMN('[4]Ave FTE cost'!$AJ$490),FALSE)</f>
        <v>2.1466724831859629E-2</v>
      </c>
    </row>
    <row r="214" spans="1:27">
      <c r="A214" s="209" t="s">
        <v>223</v>
      </c>
      <c r="B214" s="47">
        <f>VLOOKUP($A214,'[4]Ave FTE cost'!A$9:X$32,COLUMN('[4]Ave FTE cost'!$F$7),FALSE)</f>
        <v>63.386489156985327</v>
      </c>
      <c r="C214" s="47">
        <f>VLOOKUP($A214,'[4]Ave FTE cost'!$A$55:$X$78,COLUMN('[4]Ave FTE cost'!$F$7),FALSE)</f>
        <v>66.648059216349878</v>
      </c>
      <c r="D214" s="47">
        <f>VLOOKUP($A214,'[4]Ave FTE cost'!$A$100:$X$122,COLUMN('[4]Ave FTE cost'!$F$7),FALSE)</f>
        <v>69.14985000157651</v>
      </c>
      <c r="E214" s="47">
        <f>VLOOKUP($A214,'[4]Ave FTE cost'!$A$144:$X$166,COLUMN('[4]Ave FTE cost'!$F$7),FALSE)</f>
        <v>69.723272532090874</v>
      </c>
      <c r="F214" s="47">
        <f>VLOOKUP($A214,'[4]Ave FTE cost'!$A$186:$X$214,COLUMN('[4]Ave FTE cost'!$F$7),FALSE)</f>
        <v>70.577937649880099</v>
      </c>
      <c r="G214" s="47">
        <f>VLOOKUP($A214,'[4]Ave FTE cost'!$A$231:$X$259,COLUMN('[4]Ave FTE cost'!$F$7),FALSE)</f>
        <v>73.955331771274743</v>
      </c>
      <c r="H214" s="47">
        <f>VLOOKUP($A214,'[4]Ave FTE cost'!$A$275:$X$303,COLUMN('[4]Ave FTE cost'!$F$7),FALSE)</f>
        <v>73.724445724157789</v>
      </c>
      <c r="I214" s="47">
        <f>VLOOKUP($A214,'[4]Ave FTE cost'!$A$320:$X$347,COLUMN('[4]Ave FTE cost'!$F$7),FALSE)</f>
        <v>73.664882256677657</v>
      </c>
      <c r="J214" s="47">
        <f>VLOOKUP($A214,'[4]Ave FTE cost'!$A$364:$X$391,COLUMN('[4]Ave FTE cost'!$F$7),FALSE)</f>
        <v>73.977908604391843</v>
      </c>
      <c r="K214" s="47">
        <f>VLOOKUP($A214,'[4]Ave FTE cost'!$A$407:$X$434,COLUMN('[4]Ave FTE cost'!$F$406),FALSE)</f>
        <v>77.285037330782558</v>
      </c>
      <c r="L214" s="47">
        <f>VLOOKUP($A214,'[4]Ave FTE cost'!$A$448:$X$477,COLUMN('[4]Ave FTE cost'!$F$406),FALSE)</f>
        <v>79.843499606919707</v>
      </c>
      <c r="M214" s="47">
        <f>VLOOKUP($A214,'[4]Ave FTE cost'!$A$490:$X$519,COLUMN('[4]Ave FTE cost'!$F$406),FALSE)</f>
        <v>81.608968914557508</v>
      </c>
      <c r="O214" s="209" t="s">
        <v>223</v>
      </c>
      <c r="Q214" s="89">
        <f t="shared" si="19"/>
        <v>5.1455288070724858E-2</v>
      </c>
      <c r="R214" s="89">
        <f t="shared" si="18"/>
        <v>3.7537338890926142E-2</v>
      </c>
      <c r="S214" s="89">
        <f t="shared" si="18"/>
        <v>8.2924623914772955E-3</v>
      </c>
      <c r="T214" s="89">
        <f t="shared" si="18"/>
        <v>1.225796045926919E-2</v>
      </c>
      <c r="U214" s="89">
        <f t="shared" si="18"/>
        <v>4.7853397731017155E-2</v>
      </c>
      <c r="V214" s="89">
        <f t="shared" si="18"/>
        <v>-3.1219662137549342E-3</v>
      </c>
      <c r="W214" s="89">
        <f t="shared" si="18"/>
        <v>-8.0792018027497914E-4</v>
      </c>
      <c r="X214" s="89">
        <f t="shared" si="18"/>
        <v>4.249329370044741E-3</v>
      </c>
      <c r="Y214" s="89">
        <f t="shared" si="18"/>
        <v>4.4704274408135625E-2</v>
      </c>
      <c r="Z214" s="89">
        <f t="shared" si="18"/>
        <v>3.3104238084104676E-2</v>
      </c>
      <c r="AA214" s="56">
        <f>VLOOKUP($O214,'[4]Ave FTE cost'!$A$492:$AZ$519,COLUMN('[4]Ave FTE cost'!$AJ$490),FALSE)</f>
        <v>4.210752168073717E-2</v>
      </c>
    </row>
    <row r="215" spans="1:27">
      <c r="A215" s="209" t="s">
        <v>224</v>
      </c>
      <c r="B215" s="47">
        <f>VLOOKUP($A215,'[4]Ave FTE cost'!A$9:X$32,COLUMN('[4]Ave FTE cost'!$F$7),FALSE)</f>
        <v>67.863451839002238</v>
      </c>
      <c r="C215" s="47">
        <f>VLOOKUP($A215,'[4]Ave FTE cost'!$A$55:$X$78,COLUMN('[4]Ave FTE cost'!$F$7),FALSE)</f>
        <v>70.101336156819258</v>
      </c>
      <c r="D215" s="47">
        <f>VLOOKUP($A215,'[4]Ave FTE cost'!$A$100:$X$122,COLUMN('[4]Ave FTE cost'!$F$7),FALSE)</f>
        <v>73.033449077136439</v>
      </c>
      <c r="E215" s="47">
        <f>VLOOKUP($A215,'[4]Ave FTE cost'!$A$144:$X$166,COLUMN('[4]Ave FTE cost'!$F$7),FALSE)</f>
        <v>71.846579893461865</v>
      </c>
      <c r="F215" s="47">
        <f>VLOOKUP($A215,'[4]Ave FTE cost'!$A$186:$X$214,COLUMN('[4]Ave FTE cost'!$F$7),FALSE)</f>
        <v>74.962999633426278</v>
      </c>
      <c r="G215" s="47">
        <f>VLOOKUP($A215,'[4]Ave FTE cost'!$A$231:$X$259,COLUMN('[4]Ave FTE cost'!$F$7),FALSE)</f>
        <v>78.450173267457217</v>
      </c>
      <c r="H215" s="47">
        <f>VLOOKUP($A215,'[4]Ave FTE cost'!$A$275:$X$303,COLUMN('[4]Ave FTE cost'!$F$7),FALSE)</f>
        <v>76.212988166467497</v>
      </c>
      <c r="I215" s="47">
        <f>VLOOKUP($A215,'[4]Ave FTE cost'!$A$320:$X$347,COLUMN('[4]Ave FTE cost'!$F$7),FALSE)</f>
        <v>78.343348137423519</v>
      </c>
      <c r="J215" s="47">
        <f>VLOOKUP($A215,'[4]Ave FTE cost'!$A$364:$X$391,COLUMN('[4]Ave FTE cost'!$F$7),FALSE)</f>
        <v>78.915349651655973</v>
      </c>
      <c r="K215" s="47">
        <f>VLOOKUP($A215,'[4]Ave FTE cost'!$A$407:$X$434,COLUMN('[4]Ave FTE cost'!$F$406),FALSE)</f>
        <v>81.086307065680131</v>
      </c>
      <c r="L215" s="47">
        <f>VLOOKUP($A215,'[4]Ave FTE cost'!$A$448:$X$477,COLUMN('[4]Ave FTE cost'!$F$406),FALSE)</f>
        <v>82.690660675342301</v>
      </c>
      <c r="M215" s="47">
        <f>VLOOKUP($A215,'[4]Ave FTE cost'!$A$490:$X$519,COLUMN('[4]Ave FTE cost'!$F$406),FALSE)</f>
        <v>84.655802002002773</v>
      </c>
      <c r="O215" s="209" t="s">
        <v>224</v>
      </c>
      <c r="Q215" s="89">
        <f t="shared" si="19"/>
        <v>3.2976281889198988E-2</v>
      </c>
      <c r="R215" s="89">
        <f t="shared" si="18"/>
        <v>4.182677650762523E-2</v>
      </c>
      <c r="S215" s="89">
        <f t="shared" si="18"/>
        <v>-1.625103563739716E-2</v>
      </c>
      <c r="T215" s="89">
        <f t="shared" si="18"/>
        <v>4.3376034664219354E-2</v>
      </c>
      <c r="U215" s="89">
        <f t="shared" si="18"/>
        <v>4.6518597856054722E-2</v>
      </c>
      <c r="V215" s="89">
        <f t="shared" si="18"/>
        <v>-2.8517274185776098E-2</v>
      </c>
      <c r="W215" s="89">
        <f t="shared" si="18"/>
        <v>2.7952715438775311E-2</v>
      </c>
      <c r="X215" s="89">
        <f t="shared" si="18"/>
        <v>7.3012135405432499E-3</v>
      </c>
      <c r="Y215" s="89">
        <f t="shared" si="18"/>
        <v>2.7509951151545087E-2</v>
      </c>
      <c r="Z215" s="89">
        <f t="shared" si="18"/>
        <v>1.9785752585361083E-2</v>
      </c>
      <c r="AA215" s="56">
        <f>VLOOKUP($O215,'[4]Ave FTE cost'!$A$492:$AZ$519,COLUMN('[4]Ave FTE cost'!$AJ$490),FALSE)</f>
        <v>3.4905710984429517E-2</v>
      </c>
    </row>
    <row r="216" spans="1:27">
      <c r="A216" s="209" t="s">
        <v>225</v>
      </c>
      <c r="B216" s="47">
        <f>VLOOKUP($A216,'[4]Ave FTE cost'!A$9:X$32,COLUMN('[4]Ave FTE cost'!$F$7),FALSE)</f>
        <v>68.655734668809032</v>
      </c>
      <c r="C216" s="47">
        <f>VLOOKUP($A216,'[4]Ave FTE cost'!$A$55:$X$78,COLUMN('[4]Ave FTE cost'!$F$7),FALSE)</f>
        <v>69.504359129921099</v>
      </c>
      <c r="D216" s="47">
        <f>VLOOKUP($A216,'[4]Ave FTE cost'!$A$100:$X$122,COLUMN('[4]Ave FTE cost'!$F$7),FALSE)</f>
        <v>69.967666128239728</v>
      </c>
      <c r="E216" s="47">
        <f>VLOOKUP($A216,'[4]Ave FTE cost'!$A$144:$X$166,COLUMN('[4]Ave FTE cost'!$F$7),FALSE)</f>
        <v>70.688798576534523</v>
      </c>
      <c r="F216" s="47">
        <f>VLOOKUP($A216,'[4]Ave FTE cost'!$A$186:$X$214,COLUMN('[4]Ave FTE cost'!$F$7),FALSE)</f>
        <v>76.919587482723188</v>
      </c>
      <c r="G216" s="47">
        <f>VLOOKUP($A216,'[4]Ave FTE cost'!$A$231:$X$259,COLUMN('[4]Ave FTE cost'!$F$7),FALSE)</f>
        <v>78.59868042632381</v>
      </c>
      <c r="H216" s="47">
        <f>VLOOKUP($A216,'[4]Ave FTE cost'!$A$275:$X$303,COLUMN('[4]Ave FTE cost'!$F$7),FALSE)</f>
        <v>80.116774847259691</v>
      </c>
      <c r="I216" s="47">
        <f>VLOOKUP($A216,'[4]Ave FTE cost'!$A$320:$X$347,COLUMN('[4]Ave FTE cost'!$F$7),FALSE)</f>
        <v>81.150968932938156</v>
      </c>
      <c r="J216" s="47">
        <f>VLOOKUP($A216,'[4]Ave FTE cost'!$A$364:$X$391,COLUMN('[4]Ave FTE cost'!$F$7),FALSE)</f>
        <v>77.754017343735427</v>
      </c>
      <c r="K216" s="47">
        <f>VLOOKUP($A216,'[4]Ave FTE cost'!$A$407:$X$434,COLUMN('[4]Ave FTE cost'!$F$406),FALSE)</f>
        <v>79.851094539331243</v>
      </c>
      <c r="L216" s="47">
        <f>VLOOKUP($A216,'[4]Ave FTE cost'!$A$448:$X$477,COLUMN('[4]Ave FTE cost'!$F$406),FALSE)</f>
        <v>81.505890272635483</v>
      </c>
      <c r="M216" s="47">
        <f>VLOOKUP($A216,'[4]Ave FTE cost'!$A$490:$X$519,COLUMN('[4]Ave FTE cost'!$F$406),FALSE)</f>
        <v>85.207583216988766</v>
      </c>
      <c r="O216" s="209" t="s">
        <v>225</v>
      </c>
      <c r="Q216" s="89">
        <f t="shared" si="19"/>
        <v>1.2360576508368526E-2</v>
      </c>
      <c r="R216" s="89">
        <f t="shared" si="18"/>
        <v>6.6658696536225914E-3</v>
      </c>
      <c r="S216" s="89">
        <f t="shared" si="18"/>
        <v>1.030665288982302E-2</v>
      </c>
      <c r="T216" s="89">
        <f t="shared" si="18"/>
        <v>8.8143935554974906E-2</v>
      </c>
      <c r="U216" s="89">
        <f t="shared" si="18"/>
        <v>2.1829198498727775E-2</v>
      </c>
      <c r="V216" s="89">
        <f t="shared" si="18"/>
        <v>1.9314502644340203E-2</v>
      </c>
      <c r="W216" s="89">
        <f t="shared" si="18"/>
        <v>1.2908583597506684E-2</v>
      </c>
      <c r="X216" s="89">
        <f t="shared" si="18"/>
        <v>-4.1859655329684498E-2</v>
      </c>
      <c r="Y216" s="89">
        <f t="shared" si="18"/>
        <v>2.6970660388196288E-2</v>
      </c>
      <c r="Z216" s="89">
        <f t="shared" si="18"/>
        <v>2.0723519731957518E-2</v>
      </c>
      <c r="AA216" s="56">
        <f>VLOOKUP($O216,'[4]Ave FTE cost'!$A$492:$AZ$519,COLUMN('[4]Ave FTE cost'!$AJ$490),FALSE)</f>
        <v>5.9828697515763585E-2</v>
      </c>
    </row>
    <row r="217" spans="1:27">
      <c r="A217" s="209" t="s">
        <v>226</v>
      </c>
      <c r="B217" s="47">
        <f>VLOOKUP($A217,'[4]Ave FTE cost'!A$9:X$32,COLUMN('[4]Ave FTE cost'!$F$7),FALSE)</f>
        <v>67.980365925512459</v>
      </c>
      <c r="C217" s="47">
        <f>VLOOKUP($A217,'[4]Ave FTE cost'!$A$55:$X$78,COLUMN('[4]Ave FTE cost'!$F$7),FALSE)</f>
        <v>68.910377887441996</v>
      </c>
      <c r="D217" s="47">
        <f>VLOOKUP($A217,'[4]Ave FTE cost'!$A$100:$X$122,COLUMN('[4]Ave FTE cost'!$F$7),FALSE)</f>
        <v>70.625073951355361</v>
      </c>
      <c r="E217" s="47">
        <f>VLOOKUP($A217,'[4]Ave FTE cost'!$A$144:$X$166,COLUMN('[4]Ave FTE cost'!$F$7),FALSE)</f>
        <v>73.178132071948582</v>
      </c>
      <c r="F217" s="47">
        <f>VLOOKUP($A217,'[4]Ave FTE cost'!$A$186:$X$214,COLUMN('[4]Ave FTE cost'!$F$7),FALSE)</f>
        <v>73.690317583649914</v>
      </c>
      <c r="G217" s="47">
        <f>VLOOKUP($A217,'[4]Ave FTE cost'!$A$231:$X$259,COLUMN('[4]Ave FTE cost'!$F$7),FALSE)</f>
        <v>77.223783557657313</v>
      </c>
      <c r="H217" s="47">
        <f>VLOOKUP($A217,'[4]Ave FTE cost'!$A$275:$X$303,COLUMN('[4]Ave FTE cost'!$F$7),FALSE)</f>
        <v>81.328701716227698</v>
      </c>
      <c r="I217" s="47">
        <f>VLOOKUP($A217,'[4]Ave FTE cost'!$A$320:$X$347,COLUMN('[4]Ave FTE cost'!$F$7),FALSE)</f>
        <v>80.888619792951175</v>
      </c>
      <c r="J217" s="47">
        <f>VLOOKUP($A217,'[4]Ave FTE cost'!$A$364:$X$391,COLUMN('[4]Ave FTE cost'!$F$7),FALSE)</f>
        <v>78.45001041441985</v>
      </c>
      <c r="K217" s="47">
        <f>VLOOKUP($A217,'[4]Ave FTE cost'!$A$407:$X$434,COLUMN('[4]Ave FTE cost'!$F$406),FALSE)</f>
        <v>80.423671016409017</v>
      </c>
      <c r="L217" s="47">
        <f>VLOOKUP($A217,'[4]Ave FTE cost'!$A$448:$X$477,COLUMN('[4]Ave FTE cost'!$F$406),FALSE)</f>
        <v>82.720237971153651</v>
      </c>
      <c r="M217" s="47">
        <f>VLOOKUP($A217,'[4]Ave FTE cost'!$A$490:$X$519,COLUMN('[4]Ave FTE cost'!$F$406),FALSE)</f>
        <v>85.229292966104182</v>
      </c>
      <c r="O217" s="209" t="s">
        <v>226</v>
      </c>
      <c r="Q217" s="89">
        <f t="shared" si="19"/>
        <v>1.3680596585028182E-2</v>
      </c>
      <c r="R217" s="89">
        <f t="shared" si="18"/>
        <v>2.4882987388548994E-2</v>
      </c>
      <c r="S217" s="89">
        <f t="shared" si="18"/>
        <v>3.6149457660769269E-2</v>
      </c>
      <c r="T217" s="89">
        <f t="shared" si="18"/>
        <v>6.9991607765793606E-3</v>
      </c>
      <c r="U217" s="89">
        <f t="shared" si="18"/>
        <v>4.7950206891107072E-2</v>
      </c>
      <c r="V217" s="89">
        <f t="shared" si="18"/>
        <v>5.3156138814482556E-2</v>
      </c>
      <c r="W217" s="89">
        <f t="shared" si="18"/>
        <v>-5.4111514630106328E-3</v>
      </c>
      <c r="X217" s="89">
        <f t="shared" si="18"/>
        <v>-3.0147743709478259E-2</v>
      </c>
      <c r="Y217" s="89">
        <f t="shared" si="18"/>
        <v>2.5158194263622313E-2</v>
      </c>
      <c r="Z217" s="89">
        <f t="shared" si="18"/>
        <v>2.8555858315346683E-2</v>
      </c>
      <c r="AA217" s="56">
        <f>VLOOKUP($O217,'[4]Ave FTE cost'!$A$492:$AZ$519,COLUMN('[4]Ave FTE cost'!$AJ$490),FALSE)</f>
        <v>4.7738751509588839E-2</v>
      </c>
    </row>
    <row r="218" spans="1:27">
      <c r="A218" s="209" t="s">
        <v>227</v>
      </c>
      <c r="B218" s="47">
        <f>VLOOKUP($A218,'[4]Ave FTE cost'!A$9:X$32,COLUMN('[4]Ave FTE cost'!$F$7),FALSE)</f>
        <v>67.851013077809313</v>
      </c>
      <c r="C218" s="47">
        <f>VLOOKUP($A218,'[4]Ave FTE cost'!$A$55:$X$78,COLUMN('[4]Ave FTE cost'!$F$7),FALSE)</f>
        <v>70.070641450286416</v>
      </c>
      <c r="D218" s="47">
        <f>VLOOKUP($A218,'[4]Ave FTE cost'!$A$100:$X$122,COLUMN('[4]Ave FTE cost'!$F$7),FALSE)</f>
        <v>77.63305745164503</v>
      </c>
      <c r="E218" s="47">
        <f>VLOOKUP($A218,'[4]Ave FTE cost'!$A$144:$X$166,COLUMN('[4]Ave FTE cost'!$F$7),FALSE)</f>
        <v>75.049346153631618</v>
      </c>
      <c r="F218" s="47">
        <f>VLOOKUP($A218,'[4]Ave FTE cost'!$A$186:$X$214,COLUMN('[4]Ave FTE cost'!$F$7),FALSE)</f>
        <v>76.055173204185593</v>
      </c>
      <c r="G218" s="47">
        <f>VLOOKUP($A218,'[4]Ave FTE cost'!$A$231:$X$259,COLUMN('[4]Ave FTE cost'!$F$7),FALSE)</f>
        <v>79.772450852980754</v>
      </c>
      <c r="H218" s="47">
        <f>VLOOKUP($A218,'[4]Ave FTE cost'!$A$275:$X$303,COLUMN('[4]Ave FTE cost'!$F$7),FALSE)</f>
        <v>82.664337783586177</v>
      </c>
      <c r="I218" s="47">
        <f>VLOOKUP($A218,'[4]Ave FTE cost'!$A$320:$X$347,COLUMN('[4]Ave FTE cost'!$F$7),FALSE)</f>
        <v>84.756844288536584</v>
      </c>
      <c r="J218" s="47">
        <f>VLOOKUP($A218,'[4]Ave FTE cost'!$A$364:$X$391,COLUMN('[4]Ave FTE cost'!$F$7),FALSE)</f>
        <v>79.674510666373436</v>
      </c>
      <c r="K218" s="47">
        <f>VLOOKUP($A218,'[4]Ave FTE cost'!$A$407:$X$434,COLUMN('[4]Ave FTE cost'!$F$406),FALSE)</f>
        <v>82.286671131949092</v>
      </c>
      <c r="L218" s="47">
        <f>VLOOKUP($A218,'[4]Ave FTE cost'!$A$448:$X$477,COLUMN('[4]Ave FTE cost'!$F$406),FALSE)</f>
        <v>83.447135641956081</v>
      </c>
      <c r="M218" s="47">
        <f>VLOOKUP($A218,'[4]Ave FTE cost'!$A$490:$X$519,COLUMN('[4]Ave FTE cost'!$F$406),FALSE)</f>
        <v>88.57586605203447</v>
      </c>
      <c r="O218" s="209" t="s">
        <v>227</v>
      </c>
      <c r="Q218" s="89">
        <f t="shared" si="19"/>
        <v>3.2713267964499027E-2</v>
      </c>
      <c r="R218" s="89">
        <f t="shared" si="18"/>
        <v>0.10792559972101845</v>
      </c>
      <c r="S218" s="89">
        <f t="shared" si="18"/>
        <v>-3.3281071013114727E-2</v>
      </c>
      <c r="T218" s="89">
        <f t="shared" si="18"/>
        <v>1.3402209374282492E-2</v>
      </c>
      <c r="U218" s="89">
        <f t="shared" si="18"/>
        <v>4.8876065784708267E-2</v>
      </c>
      <c r="V218" s="89">
        <f t="shared" si="18"/>
        <v>3.6251699674303861E-2</v>
      </c>
      <c r="W218" s="89">
        <f t="shared" si="18"/>
        <v>2.5313291814283323E-2</v>
      </c>
      <c r="X218" s="89">
        <f t="shared" si="18"/>
        <v>-5.9963695732481836E-2</v>
      </c>
      <c r="Y218" s="89">
        <f t="shared" si="18"/>
        <v>3.2785397032605967E-2</v>
      </c>
      <c r="Z218" s="89">
        <f t="shared" si="18"/>
        <v>1.4102703318088494E-2</v>
      </c>
      <c r="AA218" s="56">
        <f>VLOOKUP($O218,'[4]Ave FTE cost'!$A$492:$AZ$519,COLUMN('[4]Ave FTE cost'!$AJ$490),FALSE)</f>
        <v>6.6084315224987256E-2</v>
      </c>
    </row>
    <row r="219" spans="1:27">
      <c r="A219" s="209" t="s">
        <v>228</v>
      </c>
      <c r="B219" s="47">
        <f>VLOOKUP($A219,'[4]Ave FTE cost'!A$9:X$32,COLUMN('[4]Ave FTE cost'!$F$7),FALSE)</f>
        <v>65.154570637119107</v>
      </c>
      <c r="C219" s="47">
        <f>VLOOKUP($A219,'[4]Ave FTE cost'!$A$55:$X$78,COLUMN('[4]Ave FTE cost'!$F$7),FALSE)</f>
        <v>69.780083453618531</v>
      </c>
      <c r="D219" s="47">
        <f>VLOOKUP($A219,'[4]Ave FTE cost'!$A$100:$X$122,COLUMN('[4]Ave FTE cost'!$F$7),FALSE)</f>
        <v>72.337271552403607</v>
      </c>
      <c r="E219" s="47">
        <f>VLOOKUP($A219,'[4]Ave FTE cost'!$A$144:$X$166,COLUMN('[4]Ave FTE cost'!$F$7),FALSE)</f>
        <v>73.632222295936529</v>
      </c>
      <c r="F219" s="47">
        <f>VLOOKUP($A219,'[4]Ave FTE cost'!$A$186:$X$214,COLUMN('[4]Ave FTE cost'!$F$7),FALSE)</f>
        <v>77.93344244408074</v>
      </c>
      <c r="G219" s="47">
        <f>VLOOKUP($A219,'[4]Ave FTE cost'!$A$231:$X$259,COLUMN('[4]Ave FTE cost'!$F$7),FALSE)</f>
        <v>77.960912590850327</v>
      </c>
      <c r="H219" s="47">
        <f>VLOOKUP($A219,'[4]Ave FTE cost'!$A$275:$X$303,COLUMN('[4]Ave FTE cost'!$F$7),FALSE)</f>
        <v>82.154528650646952</v>
      </c>
      <c r="I219" s="47">
        <f>VLOOKUP($A219,'[4]Ave FTE cost'!$A$320:$X$347,COLUMN('[4]Ave FTE cost'!$F$7),FALSE)</f>
        <v>80.957399486740812</v>
      </c>
      <c r="J219" s="47">
        <f>VLOOKUP($A219,'[4]Ave FTE cost'!$A$364:$X$391,COLUMN('[4]Ave FTE cost'!$F$7),FALSE)</f>
        <v>80.133899412148921</v>
      </c>
      <c r="K219" s="47">
        <f>VLOOKUP($A219,'[4]Ave FTE cost'!$A$407:$X$434,COLUMN('[4]Ave FTE cost'!$F$406),FALSE)</f>
        <v>80.705919198246164</v>
      </c>
      <c r="L219" s="47">
        <f>VLOOKUP($A219,'[4]Ave FTE cost'!$A$448:$X$477,COLUMN('[4]Ave FTE cost'!$F$406),FALSE)</f>
        <v>84.427604871447897</v>
      </c>
      <c r="M219" s="47">
        <f>VLOOKUP($A219,'[4]Ave FTE cost'!$A$490:$X$519,COLUMN('[4]Ave FTE cost'!$F$406),FALSE)</f>
        <v>87.839628123184212</v>
      </c>
      <c r="O219" s="209" t="s">
        <v>228</v>
      </c>
      <c r="Q219" s="89">
        <f t="shared" si="19"/>
        <v>7.0992913793590962E-2</v>
      </c>
      <c r="R219" s="89">
        <f t="shared" si="18"/>
        <v>3.6646389230600374E-2</v>
      </c>
      <c r="S219" s="89">
        <f t="shared" si="18"/>
        <v>1.7901570182873305E-2</v>
      </c>
      <c r="T219" s="89">
        <f t="shared" si="18"/>
        <v>5.8414916921250892E-2</v>
      </c>
      <c r="U219" s="89">
        <f t="shared" si="18"/>
        <v>3.524821425577862E-4</v>
      </c>
      <c r="V219" s="89">
        <f t="shared" si="18"/>
        <v>5.3791264371227943E-2</v>
      </c>
      <c r="W219" s="89">
        <f t="shared" si="18"/>
        <v>-1.4571675884074486E-2</v>
      </c>
      <c r="X219" s="89">
        <f t="shared" si="18"/>
        <v>-1.0172017379668441E-2</v>
      </c>
      <c r="Y219" s="89">
        <f t="shared" si="18"/>
        <v>7.1382996496300866E-3</v>
      </c>
      <c r="Z219" s="89">
        <f t="shared" si="18"/>
        <v>4.6114160029077755E-2</v>
      </c>
      <c r="AA219" s="56">
        <f>VLOOKUP($O219,'[4]Ave FTE cost'!$A$492:$AZ$519,COLUMN('[4]Ave FTE cost'!$AJ$490),FALSE)</f>
        <v>4.7142671954173876E-2</v>
      </c>
    </row>
    <row r="220" spans="1:27">
      <c r="A220" s="209" t="s">
        <v>229</v>
      </c>
      <c r="B220" s="47">
        <f>VLOOKUP($A220,'[4]Ave FTE cost'!A$9:X$32,COLUMN('[4]Ave FTE cost'!$F$7),FALSE)</f>
        <v>67.462612463921147</v>
      </c>
      <c r="C220" s="47">
        <f>VLOOKUP($A220,'[4]Ave FTE cost'!$A$55:$X$78,COLUMN('[4]Ave FTE cost'!$F$7),FALSE)</f>
        <v>67.833125810258679</v>
      </c>
      <c r="D220" s="47">
        <f>VLOOKUP($A220,'[4]Ave FTE cost'!$A$100:$X$122,COLUMN('[4]Ave FTE cost'!$F$7),FALSE)</f>
        <v>72.766515456148824</v>
      </c>
      <c r="E220" s="47">
        <f>VLOOKUP($A220,'[4]Ave FTE cost'!$A$144:$X$166,COLUMN('[4]Ave FTE cost'!$F$7),FALSE)</f>
        <v>73.638911655726858</v>
      </c>
      <c r="F220" s="47">
        <f>VLOOKUP($A220,'[4]Ave FTE cost'!$A$186:$X$214,COLUMN('[4]Ave FTE cost'!$F$7),FALSE)</f>
        <v>75.638695070047049</v>
      </c>
      <c r="G220" s="47">
        <f>VLOOKUP($A220,'[4]Ave FTE cost'!$A$231:$X$259,COLUMN('[4]Ave FTE cost'!$F$7),FALSE)</f>
        <v>77.645230439442656</v>
      </c>
      <c r="H220" s="47">
        <f>VLOOKUP($A220,'[4]Ave FTE cost'!$A$275:$X$303,COLUMN('[4]Ave FTE cost'!$F$7),FALSE)</f>
        <v>79.153704515563348</v>
      </c>
      <c r="I220" s="47">
        <f>VLOOKUP($A220,'[4]Ave FTE cost'!$A$320:$X$347,COLUMN('[4]Ave FTE cost'!$F$7),FALSE)</f>
        <v>80.010779796574809</v>
      </c>
      <c r="J220" s="47">
        <f>VLOOKUP($A220,'[4]Ave FTE cost'!$A$364:$X$391,COLUMN('[4]Ave FTE cost'!$F$7),FALSE)</f>
        <v>79.853017517787549</v>
      </c>
      <c r="K220" s="47">
        <f>VLOOKUP($A220,'[4]Ave FTE cost'!$A$407:$X$434,COLUMN('[4]Ave FTE cost'!$F$406),FALSE)</f>
        <v>82.247393795806076</v>
      </c>
      <c r="L220" s="47">
        <f>VLOOKUP($A220,'[4]Ave FTE cost'!$A$448:$X$477,COLUMN('[4]Ave FTE cost'!$F$406),FALSE)</f>
        <v>84.406004096446296</v>
      </c>
      <c r="M220" s="47">
        <f>VLOOKUP($A220,'[4]Ave FTE cost'!$A$490:$X$519,COLUMN('[4]Ave FTE cost'!$F$406),FALSE)</f>
        <v>86.404476130736228</v>
      </c>
      <c r="O220" s="209" t="s">
        <v>229</v>
      </c>
      <c r="Q220" s="89">
        <f t="shared" si="19"/>
        <v>5.492128644375871E-3</v>
      </c>
      <c r="R220" s="89">
        <f t="shared" si="18"/>
        <v>7.272832538617946E-2</v>
      </c>
      <c r="S220" s="89">
        <f t="shared" si="18"/>
        <v>1.19889786409213E-2</v>
      </c>
      <c r="T220" s="89">
        <f t="shared" si="18"/>
        <v>2.7156612847151873E-2</v>
      </c>
      <c r="U220" s="89">
        <f t="shared" si="18"/>
        <v>2.6527895114232258E-2</v>
      </c>
      <c r="V220" s="89">
        <f t="shared" si="18"/>
        <v>1.9427775120033797E-2</v>
      </c>
      <c r="W220" s="89">
        <f t="shared" si="18"/>
        <v>1.082798696860654E-2</v>
      </c>
      <c r="X220" s="89">
        <f t="shared" si="18"/>
        <v>-1.9717627948179217E-3</v>
      </c>
      <c r="Y220" s="89">
        <f t="shared" si="18"/>
        <v>2.9984793968307777E-2</v>
      </c>
      <c r="Z220" s="89">
        <f t="shared" si="18"/>
        <v>2.6245333754882916E-2</v>
      </c>
      <c r="AA220" s="56">
        <f>VLOOKUP($O220,'[4]Ave FTE cost'!$A$492:$AZ$519,COLUMN('[4]Ave FTE cost'!$AJ$490),FALSE)</f>
        <v>4.3921687080844762E-2</v>
      </c>
    </row>
    <row r="221" spans="1:27">
      <c r="A221" s="209" t="s">
        <v>230</v>
      </c>
      <c r="B221" s="47">
        <f>VLOOKUP($A221,'[4]Ave FTE cost'!A$9:X$32,COLUMN('[4]Ave FTE cost'!$F$7),FALSE)</f>
        <v>69.371163562605517</v>
      </c>
      <c r="C221" s="47">
        <f>VLOOKUP($A221,'[4]Ave FTE cost'!$A$55:$X$78,COLUMN('[4]Ave FTE cost'!$F$7),FALSE)</f>
        <v>74.369852369852367</v>
      </c>
      <c r="D221" s="47">
        <f>VLOOKUP($A221,'[4]Ave FTE cost'!$A$100:$X$122,COLUMN('[4]Ave FTE cost'!$F$7),FALSE)</f>
        <v>75.758282514587151</v>
      </c>
      <c r="E221" s="47">
        <f>VLOOKUP($A221,'[4]Ave FTE cost'!$A$144:$X$166,COLUMN('[4]Ave FTE cost'!$F$7),FALSE)</f>
        <v>75.98962495556539</v>
      </c>
      <c r="F221" s="47">
        <f>VLOOKUP($A221,'[4]Ave FTE cost'!$A$186:$X$214,COLUMN('[4]Ave FTE cost'!$F$7),FALSE)</f>
        <v>79.85292403746638</v>
      </c>
      <c r="G221" s="47">
        <f>VLOOKUP($A221,'[4]Ave FTE cost'!$A$231:$X$259,COLUMN('[4]Ave FTE cost'!$F$7),FALSE)</f>
        <v>80.950638507976777</v>
      </c>
      <c r="H221" s="47">
        <f>VLOOKUP($A221,'[4]Ave FTE cost'!$A$275:$X$303,COLUMN('[4]Ave FTE cost'!$F$7),FALSE)</f>
        <v>83.226063245226271</v>
      </c>
      <c r="I221" s="47">
        <f>VLOOKUP($A221,'[4]Ave FTE cost'!$A$320:$X$347,COLUMN('[4]Ave FTE cost'!$F$7),FALSE)</f>
        <v>84.952499383886277</v>
      </c>
      <c r="J221" s="47">
        <f>VLOOKUP($A221,'[4]Ave FTE cost'!$A$364:$X$391,COLUMN('[4]Ave FTE cost'!$F$7),FALSE)</f>
        <v>83.700027766709383</v>
      </c>
      <c r="K221" s="47">
        <f>VLOOKUP($A221,'[4]Ave FTE cost'!$A$407:$X$434,COLUMN('[4]Ave FTE cost'!$F$406),FALSE)</f>
        <v>84.657198276579862</v>
      </c>
      <c r="L221" s="47">
        <f>VLOOKUP($A221,'[4]Ave FTE cost'!$A$448:$X$477,COLUMN('[4]Ave FTE cost'!$F$406),FALSE)</f>
        <v>87.047658013838088</v>
      </c>
      <c r="M221" s="47">
        <f>VLOOKUP($A221,'[4]Ave FTE cost'!$A$490:$X$519,COLUMN('[4]Ave FTE cost'!$F$406),FALSE)</f>
        <v>91.111130016620294</v>
      </c>
      <c r="O221" s="209" t="s">
        <v>230</v>
      </c>
      <c r="Q221" s="89">
        <f t="shared" si="19"/>
        <v>7.2057156757010077E-2</v>
      </c>
      <c r="R221" s="89">
        <f t="shared" si="18"/>
        <v>1.8669260466323223E-2</v>
      </c>
      <c r="S221" s="89">
        <f t="shared" si="18"/>
        <v>3.053691732434638E-3</v>
      </c>
      <c r="T221" s="89">
        <f t="shared" si="18"/>
        <v>5.083982299109957E-2</v>
      </c>
      <c r="U221" s="89">
        <f t="shared" si="18"/>
        <v>1.3746703501995139E-2</v>
      </c>
      <c r="V221" s="89">
        <f t="shared" si="18"/>
        <v>2.8108792953193129E-2</v>
      </c>
      <c r="W221" s="89">
        <f t="shared" si="18"/>
        <v>2.0743936110170669E-2</v>
      </c>
      <c r="X221" s="89">
        <f t="shared" si="18"/>
        <v>-1.4743199155532571E-2</v>
      </c>
      <c r="Y221" s="89">
        <f t="shared" si="18"/>
        <v>1.1435725117539208E-2</v>
      </c>
      <c r="Z221" s="89">
        <f t="shared" si="18"/>
        <v>2.8236934199599384E-2</v>
      </c>
      <c r="AA221" s="56">
        <f>VLOOKUP($O221,'[4]Ave FTE cost'!$A$492:$AZ$519,COLUMN('[4]Ave FTE cost'!$AJ$490),FALSE)</f>
        <v>6.6834204612911563E-2</v>
      </c>
    </row>
    <row r="222" spans="1:27">
      <c r="A222" s="209" t="s">
        <v>231</v>
      </c>
      <c r="B222" s="47">
        <f>VLOOKUP($A222,'[4]Ave FTE cost'!A$9:X$32,COLUMN('[4]Ave FTE cost'!$F$7),FALSE)</f>
        <v>65.910827625940314</v>
      </c>
      <c r="C222" s="47">
        <f>VLOOKUP($A222,'[4]Ave FTE cost'!$A$55:$X$78,COLUMN('[4]Ave FTE cost'!$F$7),FALSE)</f>
        <v>69.538825303026712</v>
      </c>
      <c r="D222" s="47">
        <f>VLOOKUP($A222,'[4]Ave FTE cost'!$A$100:$X$122,COLUMN('[4]Ave FTE cost'!$F$7),FALSE)</f>
        <v>71.268026832928143</v>
      </c>
      <c r="E222" s="47">
        <f>VLOOKUP($A222,'[4]Ave FTE cost'!$A$144:$X$166,COLUMN('[4]Ave FTE cost'!$F$7),FALSE)</f>
        <v>72.262602467859324</v>
      </c>
      <c r="F222" s="47">
        <f>VLOOKUP($A222,'[4]Ave FTE cost'!$A$186:$X$214,COLUMN('[4]Ave FTE cost'!$F$7),FALSE)</f>
        <v>76.270243690490133</v>
      </c>
      <c r="G222" s="47">
        <f>VLOOKUP($A222,'[4]Ave FTE cost'!$A$231:$X$259,COLUMN('[4]Ave FTE cost'!$F$7),FALSE)</f>
        <v>77.445884264682761</v>
      </c>
      <c r="H222" s="47">
        <f>VLOOKUP($A222,'[4]Ave FTE cost'!$A$275:$X$303,COLUMN('[4]Ave FTE cost'!$F$7),FALSE)</f>
        <v>78.712688279643814</v>
      </c>
      <c r="I222" s="47">
        <f>VLOOKUP($A222,'[4]Ave FTE cost'!$A$320:$X$347,COLUMN('[4]Ave FTE cost'!$F$7),FALSE)</f>
        <v>81.298447674909326</v>
      </c>
      <c r="J222" s="47">
        <f>VLOOKUP($A222,'[4]Ave FTE cost'!$A$364:$X$391,COLUMN('[4]Ave FTE cost'!$F$7),FALSE)</f>
        <v>78.562626546647053</v>
      </c>
      <c r="K222" s="47">
        <f>VLOOKUP($A222,'[4]Ave FTE cost'!$A$407:$X$434,COLUMN('[4]Ave FTE cost'!$F$406),FALSE)</f>
        <v>79.790329321725608</v>
      </c>
      <c r="L222" s="47">
        <f>VLOOKUP($A222,'[4]Ave FTE cost'!$A$448:$X$477,COLUMN('[4]Ave FTE cost'!$F$406),FALSE)</f>
        <v>82.13891787132124</v>
      </c>
      <c r="M222" s="47">
        <f>VLOOKUP($A222,'[4]Ave FTE cost'!$A$490:$X$519,COLUMN('[4]Ave FTE cost'!$F$406),FALSE)</f>
        <v>89.302491765771663</v>
      </c>
      <c r="O222" s="209" t="s">
        <v>231</v>
      </c>
      <c r="Q222" s="89">
        <f t="shared" si="19"/>
        <v>5.5044031576665153E-2</v>
      </c>
      <c r="R222" s="89">
        <f t="shared" si="18"/>
        <v>2.4866706079174516E-2</v>
      </c>
      <c r="S222" s="89">
        <f t="shared" si="18"/>
        <v>1.3955425442923275E-2</v>
      </c>
      <c r="T222" s="89">
        <f t="shared" si="18"/>
        <v>5.545940895795054E-2</v>
      </c>
      <c r="U222" s="89">
        <f t="shared" si="18"/>
        <v>1.5414144721543899E-2</v>
      </c>
      <c r="V222" s="89">
        <f t="shared" si="18"/>
        <v>1.6357280015443676E-2</v>
      </c>
      <c r="W222" s="89">
        <f t="shared" si="18"/>
        <v>3.2850604543946504E-2</v>
      </c>
      <c r="X222" s="89">
        <f t="shared" si="18"/>
        <v>-3.3651578923155956E-2</v>
      </c>
      <c r="Y222" s="89">
        <f t="shared" si="18"/>
        <v>1.5627058679734906E-2</v>
      </c>
      <c r="Z222" s="89">
        <f t="shared" si="18"/>
        <v>2.9434501268014612E-2</v>
      </c>
      <c r="AA222" s="56">
        <f>VLOOKUP($O222,'[4]Ave FTE cost'!$A$492:$AZ$519,COLUMN('[4]Ave FTE cost'!$AJ$490),FALSE)</f>
        <v>7.8136410222778174E-2</v>
      </c>
    </row>
    <row r="223" spans="1:27">
      <c r="A223" s="209" t="s">
        <v>232</v>
      </c>
      <c r="B223" s="47">
        <f>VLOOKUP($A223,'[4]Ave FTE cost'!A$9:X$32,COLUMN('[4]Ave FTE cost'!$F$7),FALSE)</f>
        <v>68.367101904386104</v>
      </c>
      <c r="C223" s="47">
        <f>VLOOKUP($A223,'[4]Ave FTE cost'!$A$55:$X$78,COLUMN('[4]Ave FTE cost'!$F$7),FALSE)</f>
        <v>69.508107358071669</v>
      </c>
      <c r="D223" s="47"/>
      <c r="E223" s="47"/>
      <c r="F223" s="47"/>
      <c r="G223" s="47"/>
      <c r="H223" s="47"/>
      <c r="I223" s="47"/>
      <c r="J223" s="47"/>
      <c r="K223" s="47"/>
      <c r="L223" s="47"/>
      <c r="M223" s="47"/>
      <c r="O223" s="209" t="s">
        <v>232</v>
      </c>
      <c r="Q223" s="89">
        <f t="shared" si="19"/>
        <v>1.6689393317875334E-2</v>
      </c>
      <c r="R223" s="89"/>
      <c r="S223" s="89"/>
      <c r="T223" s="89"/>
      <c r="U223" s="89"/>
      <c r="V223" s="89"/>
      <c r="W223" s="89"/>
      <c r="X223" s="89"/>
      <c r="Y223" s="89"/>
      <c r="Z223" s="89"/>
      <c r="AA223" s="56"/>
    </row>
    <row r="224" spans="1:27">
      <c r="A224" s="209" t="s">
        <v>233</v>
      </c>
      <c r="B224" s="47">
        <f>VLOOKUP($A224,'[4]Ave FTE cost'!A$9:X$32,COLUMN('[4]Ave FTE cost'!$F$7),FALSE)</f>
        <v>65.300788011978284</v>
      </c>
      <c r="C224" s="47">
        <f>VLOOKUP($A224,'[4]Ave FTE cost'!$A$55:$X$78,COLUMN('[4]Ave FTE cost'!$F$7),FALSE)</f>
        <v>68.588021347812017</v>
      </c>
      <c r="D224" s="47">
        <f>VLOOKUP($A224,'[4]Ave FTE cost'!$A$100:$X$122,COLUMN('[4]Ave FTE cost'!$F$7),FALSE)</f>
        <v>70.234623330510246</v>
      </c>
      <c r="E224" s="47">
        <f>VLOOKUP($A224,'[4]Ave FTE cost'!$A$144:$X$166,COLUMN('[4]Ave FTE cost'!$F$7),FALSE)</f>
        <v>71.303857575843665</v>
      </c>
      <c r="F224" s="47">
        <f>VLOOKUP($A224,'[4]Ave FTE cost'!$A$186:$X$214,COLUMN('[4]Ave FTE cost'!$F$7),FALSE)</f>
        <v>77.917197452229303</v>
      </c>
      <c r="G224" s="47">
        <f>VLOOKUP($A224,'[4]Ave FTE cost'!$A$231:$X$259,COLUMN('[4]Ave FTE cost'!$F$7),FALSE)</f>
        <v>76.532710280373834</v>
      </c>
      <c r="H224" s="47">
        <f>VLOOKUP($A224,'[4]Ave FTE cost'!$A$275:$X$303,COLUMN('[4]Ave FTE cost'!$F$7),FALSE)</f>
        <v>78.109034267912776</v>
      </c>
      <c r="I224" s="47">
        <f>VLOOKUP($A224,'[4]Ave FTE cost'!$A$320:$X$347,COLUMN('[4]Ave FTE cost'!$F$7),FALSE)</f>
        <v>83.583733667880423</v>
      </c>
      <c r="J224" s="47">
        <f>VLOOKUP($A224,'[4]Ave FTE cost'!$A$364:$X$391,COLUMN('[4]Ave FTE cost'!$F$7),FALSE)</f>
        <v>77.750924190063174</v>
      </c>
      <c r="K224" s="47">
        <f>VLOOKUP($A224,'[4]Ave FTE cost'!$A$407:$X$434,COLUMN('[4]Ave FTE cost'!$F$406),FALSE)</f>
        <v>79.58366571699905</v>
      </c>
      <c r="L224" s="47">
        <f>VLOOKUP($A224,'[4]Ave FTE cost'!$A$448:$X$477,COLUMN('[4]Ave FTE cost'!$F$406),FALSE)</f>
        <v>82.971293158999728</v>
      </c>
      <c r="M224" s="47">
        <f>VLOOKUP($A224,'[4]Ave FTE cost'!$A$490:$X$519,COLUMN('[4]Ave FTE cost'!$F$406),FALSE)</f>
        <v>87.655652100378418</v>
      </c>
      <c r="O224" s="209" t="s">
        <v>233</v>
      </c>
      <c r="Q224" s="89">
        <f t="shared" si="19"/>
        <v>5.03398723952726E-2</v>
      </c>
      <c r="R224" s="89">
        <f t="shared" si="19"/>
        <v>2.4007136382434124E-2</v>
      </c>
      <c r="S224" s="89">
        <f t="shared" si="19"/>
        <v>1.5223748553499172E-2</v>
      </c>
      <c r="T224" s="89">
        <f t="shared" si="19"/>
        <v>9.2748696932017038E-2</v>
      </c>
      <c r="U224" s="89">
        <f t="shared" si="19"/>
        <v>-1.7768698273629369E-2</v>
      </c>
      <c r="V224" s="89">
        <f t="shared" si="19"/>
        <v>2.0596735458134896E-2</v>
      </c>
      <c r="W224" s="89">
        <f t="shared" si="19"/>
        <v>7.0090476105356903E-2</v>
      </c>
      <c r="X224" s="89">
        <f t="shared" si="19"/>
        <v>-6.978402641109438E-2</v>
      </c>
      <c r="Y224" s="89">
        <f t="shared" si="19"/>
        <v>2.3571958096031409E-2</v>
      </c>
      <c r="Z224" s="89">
        <f t="shared" si="19"/>
        <v>4.2566868609032582E-2</v>
      </c>
      <c r="AA224" s="56">
        <f>VLOOKUP($O224,'[4]Ave FTE cost'!$A$492:$AZ$519,COLUMN('[4]Ave FTE cost'!$AJ$490),FALSE)</f>
        <v>5.5323476393550397E-2</v>
      </c>
    </row>
    <row r="225" spans="1:27">
      <c r="A225" s="209" t="s">
        <v>234</v>
      </c>
      <c r="B225" s="215">
        <f>'[4]Ave FTE cost'!$F$36</f>
        <v>68.595218391076173</v>
      </c>
      <c r="C225" s="215">
        <f>'[4]Ave FTE cost'!$F$82</f>
        <v>70.21425381132569</v>
      </c>
      <c r="D225" s="47">
        <f>VLOOKUP($A225,'[4]Ave FTE cost'!$A$100:$X$122,COLUMN('[4]Ave FTE cost'!$F$7),FALSE)</f>
        <v>73.781255666823796</v>
      </c>
      <c r="E225" s="47">
        <f>VLOOKUP($A225,'[4]Ave FTE cost'!$A$144:$X$166,COLUMN('[4]Ave FTE cost'!$F$7),FALSE)</f>
        <v>73.662981191531244</v>
      </c>
      <c r="F225" s="47">
        <f>VLOOKUP($A225,'[4]Ave FTE cost'!$A$186:$X$214,COLUMN('[4]Ave FTE cost'!$F$7),FALSE)</f>
        <v>75.430414703550355</v>
      </c>
      <c r="G225" s="47">
        <f>VLOOKUP($A225,'[4]Ave FTE cost'!$A$231:$X$259,COLUMN('[4]Ave FTE cost'!$F$7),FALSE)</f>
        <v>77.209882902118679</v>
      </c>
      <c r="H225" s="47">
        <f>VLOOKUP($A225,'[4]Ave FTE cost'!$A$275:$X$303,COLUMN('[4]Ave FTE cost'!$F$7),FALSE)</f>
        <v>78.446837209817446</v>
      </c>
      <c r="I225" s="47">
        <f>VLOOKUP($A225,'[4]Ave FTE cost'!$A$320:$X$347,COLUMN('[4]Ave FTE cost'!$F$7),FALSE)</f>
        <v>80.354110857346825</v>
      </c>
      <c r="J225" s="47">
        <f>VLOOKUP($A225,'[4]Ave FTE cost'!$A$364:$X$391,COLUMN('[4]Ave FTE cost'!$F$7),FALSE)</f>
        <v>81.694150786691736</v>
      </c>
      <c r="K225" s="47">
        <f>VLOOKUP($A225,'[4]Ave FTE cost'!$A$407:$X$434,COLUMN('[4]Ave FTE cost'!$F$406),FALSE)</f>
        <v>82.675144944554205</v>
      </c>
      <c r="L225" s="47">
        <f>VLOOKUP($A225,'[4]Ave FTE cost'!$A$448:$X$477,COLUMN('[4]Ave FTE cost'!$F$406),FALSE)</f>
        <v>84.453002457603162</v>
      </c>
      <c r="M225" s="47">
        <f>VLOOKUP($A225,'[4]Ave FTE cost'!$A$490:$X$519,COLUMN('[4]Ave FTE cost'!$F$406),FALSE)</f>
        <v>84.392032460951626</v>
      </c>
      <c r="O225" s="209" t="s">
        <v>234</v>
      </c>
      <c r="Q225" s="216">
        <f t="shared" si="19"/>
        <v>2.360274459684697E-2</v>
      </c>
      <c r="R225" s="216">
        <f t="shared" si="19"/>
        <v>5.0801677179153293E-2</v>
      </c>
      <c r="S225" s="89">
        <f t="shared" si="19"/>
        <v>-1.6030423204864697E-3</v>
      </c>
      <c r="T225" s="89">
        <f t="shared" si="19"/>
        <v>2.399351049102405E-2</v>
      </c>
      <c r="U225" s="89">
        <f t="shared" si="19"/>
        <v>2.3590857952482835E-2</v>
      </c>
      <c r="V225" s="89">
        <f t="shared" si="19"/>
        <v>1.6020673276591957E-2</v>
      </c>
      <c r="W225" s="89">
        <f t="shared" si="19"/>
        <v>2.4312945115022355E-2</v>
      </c>
      <c r="X225" s="89">
        <f t="shared" si="19"/>
        <v>1.6676681691169426E-2</v>
      </c>
      <c r="Y225" s="89">
        <f t="shared" si="19"/>
        <v>1.2008132141845707E-2</v>
      </c>
      <c r="Z225" s="89">
        <f t="shared" si="19"/>
        <v>2.1504135423545678E-2</v>
      </c>
      <c r="AA225" s="56">
        <f>VLOOKUP($O225,'[4]Ave FTE cost'!$A$492:$AZ$519,COLUMN('[4]Ave FTE cost'!$AJ$490),FALSE)</f>
        <v>1.3206232418414565E-3</v>
      </c>
    </row>
    <row r="226" spans="1:27">
      <c r="A226" s="209" t="s">
        <v>235</v>
      </c>
      <c r="B226" s="47">
        <f>VLOOKUP($A226,'[4]Ave FTE cost'!A$9:X$32,COLUMN('[4]Ave FTE cost'!$F$7),FALSE)</f>
        <v>69.0848291561515</v>
      </c>
      <c r="C226" s="47">
        <f>VLOOKUP($A226,'[4]Ave FTE cost'!$A$55:$X$78,COLUMN('[4]Ave FTE cost'!$F$7),FALSE)</f>
        <v>71.713477501234678</v>
      </c>
      <c r="D226" s="47"/>
      <c r="E226" s="47"/>
      <c r="F226" s="47"/>
      <c r="G226" s="47"/>
      <c r="H226" s="47"/>
      <c r="I226" s="47"/>
      <c r="J226" s="47"/>
      <c r="K226" s="47"/>
      <c r="L226" s="47"/>
      <c r="M226" s="47"/>
      <c r="O226" s="209" t="s">
        <v>235</v>
      </c>
      <c r="Q226" s="89">
        <f t="shared" si="19"/>
        <v>3.8049574373871353E-2</v>
      </c>
      <c r="R226" s="89"/>
      <c r="S226" s="89"/>
      <c r="T226" s="89"/>
      <c r="U226" s="89"/>
      <c r="V226" s="89"/>
      <c r="W226" s="89"/>
      <c r="X226" s="89"/>
      <c r="Y226" s="89"/>
      <c r="Z226" s="89"/>
      <c r="AA226" s="56"/>
    </row>
    <row r="227" spans="1:27">
      <c r="A227" s="209" t="s">
        <v>236</v>
      </c>
      <c r="B227" s="47">
        <f>VLOOKUP($A227,'[4]Ave FTE cost'!A$9:X$32,COLUMN('[4]Ave FTE cost'!$F$7),FALSE)</f>
        <v>67.688580163467336</v>
      </c>
      <c r="C227" s="47">
        <f>VLOOKUP($A227,'[4]Ave FTE cost'!$A$55:$X$78,COLUMN('[4]Ave FTE cost'!$F$7),FALSE)</f>
        <v>74.641306771394696</v>
      </c>
      <c r="D227" s="47">
        <f>VLOOKUP($A227,'[4]Ave FTE cost'!$A$100:$X$122,COLUMN('[4]Ave FTE cost'!$F$7),FALSE)</f>
        <v>74.239503808763118</v>
      </c>
      <c r="E227" s="47">
        <f>VLOOKUP($A227,'[4]Ave FTE cost'!$A$144:$X$166,COLUMN('[4]Ave FTE cost'!$F$7),FALSE)</f>
        <v>73.051359444785902</v>
      </c>
      <c r="F227" s="47">
        <f>VLOOKUP($A227,'[4]Ave FTE cost'!$A$186:$X$214,COLUMN('[4]Ave FTE cost'!$F$7),FALSE)</f>
        <v>79.244516653127548</v>
      </c>
      <c r="G227" s="47">
        <f>VLOOKUP($A227,'[4]Ave FTE cost'!$A$231:$X$259,COLUMN('[4]Ave FTE cost'!$F$7),FALSE)</f>
        <v>81.027559055118104</v>
      </c>
      <c r="H227" s="47">
        <f>VLOOKUP($A227,'[4]Ave FTE cost'!$A$275:$X$303,COLUMN('[4]Ave FTE cost'!$F$7),FALSE)</f>
        <v>83.786259541984734</v>
      </c>
      <c r="I227" s="47">
        <f>VLOOKUP($A227,'[4]Ave FTE cost'!$A$320:$X$347,COLUMN('[4]Ave FTE cost'!$F$7),FALSE)</f>
        <v>85.823308270676691</v>
      </c>
      <c r="J227" s="47">
        <f>VLOOKUP($A227,'[4]Ave FTE cost'!$A$364:$X$391,COLUMN('[4]Ave FTE cost'!$F$7),FALSE)</f>
        <v>85.004614735039283</v>
      </c>
      <c r="K227" s="47">
        <f>VLOOKUP($A227,'[4]Ave FTE cost'!$A$407:$X$434,COLUMN('[4]Ave FTE cost'!$F$406),FALSE)</f>
        <v>84.425974025974028</v>
      </c>
      <c r="L227" s="47">
        <f>VLOOKUP($A227,'[4]Ave FTE cost'!$A$448:$X$477,COLUMN('[4]Ave FTE cost'!$F$406),FALSE)</f>
        <v>88.816759776536315</v>
      </c>
      <c r="M227" s="47">
        <f>VLOOKUP($A227,'[4]Ave FTE cost'!$A$490:$X$519,COLUMN('[4]Ave FTE cost'!$F$406),FALSE)</f>
        <v>90.302097902097898</v>
      </c>
      <c r="O227" s="209" t="s">
        <v>236</v>
      </c>
      <c r="Q227" s="89">
        <f t="shared" si="19"/>
        <v>0.10271639013754741</v>
      </c>
      <c r="R227" s="89">
        <f t="shared" si="19"/>
        <v>-5.3831180081317376E-3</v>
      </c>
      <c r="S227" s="89">
        <f t="shared" si="19"/>
        <v>-1.600420669617908E-2</v>
      </c>
      <c r="T227" s="89">
        <f t="shared" si="19"/>
        <v>8.4778123985804754E-2</v>
      </c>
      <c r="U227" s="89">
        <f t="shared" si="19"/>
        <v>2.250051457560609E-2</v>
      </c>
      <c r="V227" s="89">
        <f t="shared" si="19"/>
        <v>3.4046446900739769E-2</v>
      </c>
      <c r="W227" s="89">
        <f t="shared" si="19"/>
        <v>2.4312443828229391E-2</v>
      </c>
      <c r="X227" s="89">
        <f t="shared" si="19"/>
        <v>-9.5392912733606172E-3</v>
      </c>
      <c r="Y227" s="89">
        <f t="shared" si="19"/>
        <v>-6.8071681857377886E-3</v>
      </c>
      <c r="Z227" s="89">
        <f t="shared" si="19"/>
        <v>5.2007522580804766E-2</v>
      </c>
      <c r="AA227" s="56">
        <f>VLOOKUP($O227,'[4]Ave FTE cost'!$A$492:$AZ$519,COLUMN('[4]Ave FTE cost'!$AJ$490),FALSE)</f>
        <v>3.4692147679160623E-2</v>
      </c>
    </row>
    <row r="228" spans="1:27">
      <c r="A228" s="209" t="s">
        <v>237</v>
      </c>
      <c r="B228" s="47">
        <f>VLOOKUP($A228,'[4]Ave FTE cost'!A$9:X$32,COLUMN('[4]Ave FTE cost'!$F$7),FALSE)</f>
        <v>67.593239578042514</v>
      </c>
      <c r="C228" s="47">
        <f>VLOOKUP($A228,'[4]Ave FTE cost'!$A$55:$X$78,COLUMN('[4]Ave FTE cost'!$F$7),FALSE)</f>
        <v>68.531683211921205</v>
      </c>
      <c r="D228" s="47">
        <f>VLOOKUP($A228,'[4]Ave FTE cost'!$A$100:$X$122,COLUMN('[4]Ave FTE cost'!$F$7),FALSE)</f>
        <v>71.790619251880614</v>
      </c>
      <c r="E228" s="47">
        <f>VLOOKUP($A228,'[4]Ave FTE cost'!$A$144:$X$166,COLUMN('[4]Ave FTE cost'!$F$7),FALSE)</f>
        <v>72.175129978598193</v>
      </c>
      <c r="F228" s="47">
        <f>VLOOKUP($A228,'[4]Ave FTE cost'!$A$186:$X$214,COLUMN('[4]Ave FTE cost'!$F$7),FALSE)</f>
        <v>72.838596491228074</v>
      </c>
      <c r="G228" s="47">
        <f>VLOOKUP($A228,'[4]Ave FTE cost'!$A$231:$X$259,COLUMN('[4]Ave FTE cost'!$F$7),FALSE)</f>
        <v>78.9638313861619</v>
      </c>
      <c r="H228" s="47">
        <f>VLOOKUP($A228,'[4]Ave FTE cost'!$A$275:$X$303,COLUMN('[4]Ave FTE cost'!$F$7),FALSE)</f>
        <v>77.900338086138476</v>
      </c>
      <c r="I228" s="47">
        <f>VLOOKUP($A228,'[4]Ave FTE cost'!$A$320:$X$347,COLUMN('[4]Ave FTE cost'!$F$7),FALSE)</f>
        <v>80.744227353463586</v>
      </c>
      <c r="J228" s="47">
        <f>VLOOKUP($A228,'[4]Ave FTE cost'!$A$364:$X$391,COLUMN('[4]Ave FTE cost'!$F$7),FALSE)</f>
        <v>79.688291251815301</v>
      </c>
      <c r="K228" s="47">
        <f>VLOOKUP($A228,'[4]Ave FTE cost'!$A$407:$X$434,COLUMN('[4]Ave FTE cost'!$F$406),FALSE)</f>
        <v>80.598346035349437</v>
      </c>
      <c r="L228" s="47">
        <f>VLOOKUP($A228,'[4]Ave FTE cost'!$A$448:$X$477,COLUMN('[4]Ave FTE cost'!$F$406),FALSE)</f>
        <v>83.001207256079397</v>
      </c>
      <c r="M228" s="47">
        <f>VLOOKUP($A228,'[4]Ave FTE cost'!$A$490:$X$519,COLUMN('[4]Ave FTE cost'!$F$406),FALSE)</f>
        <v>87.04421327054925</v>
      </c>
      <c r="O228" s="209" t="s">
        <v>237</v>
      </c>
      <c r="Q228" s="89">
        <f t="shared" si="19"/>
        <v>1.3883690732046761E-2</v>
      </c>
      <c r="R228" s="89">
        <f t="shared" si="19"/>
        <v>4.7553713657984664E-2</v>
      </c>
      <c r="S228" s="89">
        <f t="shared" si="19"/>
        <v>5.3560023680601088E-3</v>
      </c>
      <c r="T228" s="89">
        <f t="shared" si="19"/>
        <v>9.1924533121952035E-3</v>
      </c>
      <c r="U228" s="89">
        <f t="shared" si="19"/>
        <v>8.4093258107622804E-2</v>
      </c>
      <c r="V228" s="89">
        <f t="shared" si="19"/>
        <v>-1.3468106617351872E-2</v>
      </c>
      <c r="W228" s="89">
        <f t="shared" si="19"/>
        <v>3.650676411930931E-2</v>
      </c>
      <c r="X228" s="89">
        <f t="shared" si="19"/>
        <v>-1.3077542955805987E-2</v>
      </c>
      <c r="Y228" s="89">
        <f t="shared" si="19"/>
        <v>1.1420181926832473E-2</v>
      </c>
      <c r="Z228" s="89">
        <f t="shared" si="19"/>
        <v>2.9812785732303837E-2</v>
      </c>
      <c r="AA228" s="56">
        <f>VLOOKUP($O228,'[4]Ave FTE cost'!$A$492:$AZ$519,COLUMN('[4]Ave FTE cost'!$AJ$490),FALSE)</f>
        <v>5.1541368555767075E-2</v>
      </c>
    </row>
    <row r="229" spans="1:27">
      <c r="A229" s="209" t="s">
        <v>238</v>
      </c>
      <c r="B229" s="47">
        <f>VLOOKUP($A229,'[4]Ave FTE cost'!A$9:X$32,COLUMN('[4]Ave FTE cost'!$F$7),FALSE)</f>
        <v>69.608711659487597</v>
      </c>
      <c r="C229" s="47">
        <f>VLOOKUP($A229,'[4]Ave FTE cost'!$A$55:$X$78,COLUMN('[4]Ave FTE cost'!$F$7),FALSE)</f>
        <v>71.978908405943116</v>
      </c>
      <c r="D229" s="47">
        <f>VLOOKUP($A229,'[4]Ave FTE cost'!$A$100:$X$122,COLUMN('[4]Ave FTE cost'!$F$7),FALSE)</f>
        <v>75.198280409828413</v>
      </c>
      <c r="E229" s="47">
        <f>VLOOKUP($A229,'[4]Ave FTE cost'!$A$144:$X$166,COLUMN('[4]Ave FTE cost'!$F$7),FALSE)</f>
        <v>74.905438096383961</v>
      </c>
      <c r="F229" s="47">
        <f>VLOOKUP($A229,'[4]Ave FTE cost'!$A$186:$X$214,COLUMN('[4]Ave FTE cost'!$F$7),FALSE)</f>
        <v>75.780696992726092</v>
      </c>
      <c r="G229" s="47">
        <f>VLOOKUP($A229,'[4]Ave FTE cost'!$A$231:$X$259,COLUMN('[4]Ave FTE cost'!$F$7),FALSE)</f>
        <v>77.117448323464245</v>
      </c>
      <c r="H229" s="47">
        <f>VLOOKUP($A229,'[4]Ave FTE cost'!$A$275:$X$303,COLUMN('[4]Ave FTE cost'!$F$7),FALSE)</f>
        <v>76.427522622503005</v>
      </c>
      <c r="I229" s="47">
        <f>VLOOKUP($A229,'[4]Ave FTE cost'!$A$320:$X$347,COLUMN('[4]Ave FTE cost'!$F$7),FALSE)</f>
        <v>77.345807426770619</v>
      </c>
      <c r="J229" s="47">
        <f>VLOOKUP($A229,'[4]Ave FTE cost'!$A$364:$X$391,COLUMN('[4]Ave FTE cost'!$F$7),FALSE)</f>
        <v>80.370178203294785</v>
      </c>
      <c r="K229" s="47">
        <f>VLOOKUP($A229,'[4]Ave FTE cost'!$A$407:$X$434,COLUMN('[4]Ave FTE cost'!$F$406),FALSE)</f>
        <v>80.265707844575246</v>
      </c>
      <c r="L229" s="47">
        <f>VLOOKUP($A229,'[4]Ave FTE cost'!$A$448:$X$477,COLUMN('[4]Ave FTE cost'!$F$406),FALSE)</f>
        <v>83.054684556684805</v>
      </c>
      <c r="M229" s="47">
        <f>VLOOKUP($A229,'[4]Ave FTE cost'!$A$490:$X$519,COLUMN('[4]Ave FTE cost'!$F$406),FALSE)</f>
        <v>83.50001410519485</v>
      </c>
      <c r="O229" s="209" t="s">
        <v>238</v>
      </c>
      <c r="Q229" s="89">
        <f t="shared" si="19"/>
        <v>3.4050288964548869E-2</v>
      </c>
      <c r="R229" s="89">
        <f t="shared" si="19"/>
        <v>4.4726602211426103E-2</v>
      </c>
      <c r="S229" s="89">
        <f t="shared" si="19"/>
        <v>-3.8942687498766393E-3</v>
      </c>
      <c r="T229" s="89">
        <f t="shared" si="19"/>
        <v>1.1684851174835975E-2</v>
      </c>
      <c r="U229" s="89">
        <f t="shared" si="19"/>
        <v>1.7639733913590971E-2</v>
      </c>
      <c r="V229" s="89">
        <f t="shared" si="19"/>
        <v>-8.9464280258261253E-3</v>
      </c>
      <c r="W229" s="89">
        <f t="shared" si="19"/>
        <v>1.2015106243902229E-2</v>
      </c>
      <c r="X229" s="89">
        <f t="shared" si="19"/>
        <v>3.9101935543016664E-2</v>
      </c>
      <c r="Y229" s="89">
        <f t="shared" si="19"/>
        <v>-1.2998647141889696E-3</v>
      </c>
      <c r="Z229" s="89">
        <f t="shared" si="19"/>
        <v>3.4746802675808652E-2</v>
      </c>
      <c r="AA229" s="56">
        <f>VLOOKUP($O229,'[4]Ave FTE cost'!$A$492:$AZ$519,COLUMN('[4]Ave FTE cost'!$AJ$490),FALSE)</f>
        <v>-3.1403183948341962E-5</v>
      </c>
    </row>
    <row r="230" spans="1:27">
      <c r="A230" s="209" t="s">
        <v>239</v>
      </c>
      <c r="B230" s="47">
        <f>VLOOKUP($A230,'[4]Ave FTE cost'!A$9:X$32,COLUMN('[4]Ave FTE cost'!$F$7),FALSE)</f>
        <v>77.715442194080268</v>
      </c>
      <c r="C230" s="47">
        <f>VLOOKUP($A230,'[4]Ave FTE cost'!$A$55:$X$78,COLUMN('[4]Ave FTE cost'!$F$7),FALSE)</f>
        <v>72.474485212597671</v>
      </c>
      <c r="D230" s="47">
        <f>VLOOKUP($A230,'[4]Ave FTE cost'!$A$100:$X$122,COLUMN('[4]Ave FTE cost'!$F$7),FALSE)</f>
        <v>74.385614479938027</v>
      </c>
      <c r="E230" s="47">
        <f>VLOOKUP($A230,'[4]Ave FTE cost'!$A$144:$X$166,COLUMN('[4]Ave FTE cost'!$F$7),FALSE)</f>
        <v>74.239273219106025</v>
      </c>
      <c r="F230" s="47">
        <f>VLOOKUP($A230,'[4]Ave FTE cost'!$A$186:$X$214,COLUMN('[4]Ave FTE cost'!$F$7),FALSE)</f>
        <v>81.358698748378515</v>
      </c>
      <c r="G230" s="47">
        <f>VLOOKUP($A230,'[4]Ave FTE cost'!$A$231:$X$259,COLUMN('[4]Ave FTE cost'!$F$7),FALSE)</f>
        <v>81.147730254302985</v>
      </c>
      <c r="H230" s="47">
        <f>VLOOKUP($A230,'[4]Ave FTE cost'!$A$275:$X$303,COLUMN('[4]Ave FTE cost'!$F$7),FALSE)</f>
        <v>79.654558052063749</v>
      </c>
      <c r="I230" s="47">
        <f>VLOOKUP($A230,'[4]Ave FTE cost'!$A$320:$X$347,COLUMN('[4]Ave FTE cost'!$F$7),FALSE)</f>
        <v>82.177133577625298</v>
      </c>
      <c r="J230" s="47">
        <f>VLOOKUP($A230,'[4]Ave FTE cost'!$A$364:$X$391,COLUMN('[4]Ave FTE cost'!$F$7),FALSE)</f>
        <v>82.550731503436623</v>
      </c>
      <c r="K230" s="47">
        <f>VLOOKUP($A230,'[4]Ave FTE cost'!$A$407:$X$434,COLUMN('[4]Ave FTE cost'!$F$406),FALSE)</f>
        <v>82.408424819965035</v>
      </c>
      <c r="L230" s="47">
        <f>VLOOKUP($A230,'[4]Ave FTE cost'!$A$448:$X$477,COLUMN('[4]Ave FTE cost'!$F$406),FALSE)</f>
        <v>85.290160008620276</v>
      </c>
      <c r="M230" s="47">
        <f>VLOOKUP($A230,'[4]Ave FTE cost'!$A$490:$X$519,COLUMN('[4]Ave FTE cost'!$F$406),FALSE)</f>
        <v>89.21134368821869</v>
      </c>
      <c r="O230" s="209" t="s">
        <v>239</v>
      </c>
      <c r="Q230" s="89">
        <f t="shared" si="19"/>
        <v>-6.743778113485166E-2</v>
      </c>
      <c r="R230" s="89">
        <f t="shared" si="19"/>
        <v>2.6369683920268283E-2</v>
      </c>
      <c r="S230" s="89">
        <f t="shared" si="19"/>
        <v>-1.9673328217443276E-3</v>
      </c>
      <c r="T230" s="89">
        <f t="shared" si="19"/>
        <v>9.589837320013328E-2</v>
      </c>
      <c r="U230" s="89">
        <f t="shared" si="19"/>
        <v>-2.5930662279641803E-3</v>
      </c>
      <c r="V230" s="89">
        <f t="shared" si="19"/>
        <v>-1.8400665028582952E-2</v>
      </c>
      <c r="W230" s="89">
        <f t="shared" si="19"/>
        <v>3.1668941329292766E-2</v>
      </c>
      <c r="X230" s="89">
        <f t="shared" si="19"/>
        <v>4.5462516097427574E-3</v>
      </c>
      <c r="Y230" s="89">
        <f t="shared" si="19"/>
        <v>-1.7238694422188061E-3</v>
      </c>
      <c r="Z230" s="89">
        <f t="shared" si="19"/>
        <v>3.4968939097560492E-2</v>
      </c>
      <c r="AA230" s="56">
        <f>VLOOKUP($O230,'[4]Ave FTE cost'!$A$492:$AZ$519,COLUMN('[4]Ave FTE cost'!$AJ$490),FALSE)</f>
        <v>7.1263776931589362E-2</v>
      </c>
    </row>
    <row r="231" spans="1:27">
      <c r="A231" s="209" t="s">
        <v>240</v>
      </c>
      <c r="B231" s="47">
        <f>VLOOKUP($A231,'[4]Ave FTE cost'!A$9:X$32,COLUMN('[4]Ave FTE cost'!$F$7),FALSE)</f>
        <v>69.023115756831004</v>
      </c>
      <c r="C231" s="47">
        <f>VLOOKUP($A231,'[4]Ave FTE cost'!$A$55:$X$78,COLUMN('[4]Ave FTE cost'!$F$7),FALSE)</f>
        <v>70.95256268594126</v>
      </c>
      <c r="D231" s="47">
        <f>VLOOKUP($A231,'[4]Ave FTE cost'!$A$100:$X$122,COLUMN('[4]Ave FTE cost'!$F$7),FALSE)</f>
        <v>73.698209327472767</v>
      </c>
      <c r="E231" s="47">
        <f>VLOOKUP($A231,'[4]Ave FTE cost'!$A$144:$X$166,COLUMN('[4]Ave FTE cost'!$F$7),FALSE)</f>
        <v>74.570275901539958</v>
      </c>
      <c r="F231" s="47">
        <f>VLOOKUP($A231,'[4]Ave FTE cost'!$A$186:$X$214,COLUMN('[4]Ave FTE cost'!$F$7),FALSE)</f>
        <v>77.199555186617999</v>
      </c>
      <c r="G231" s="47">
        <f>VLOOKUP($A231,'[4]Ave FTE cost'!$A$231:$X$259,COLUMN('[4]Ave FTE cost'!$F$7),FALSE)</f>
        <v>75.944205936889233</v>
      </c>
      <c r="H231" s="47">
        <f>VLOOKUP($A231,'[4]Ave FTE cost'!$A$275:$X$303,COLUMN('[4]Ave FTE cost'!$F$7),FALSE)</f>
        <v>76.607063294121275</v>
      </c>
      <c r="I231" s="47">
        <f>VLOOKUP($A231,'[4]Ave FTE cost'!$A$320:$X$347,COLUMN('[4]Ave FTE cost'!$F$7),FALSE)</f>
        <v>80.595970163857928</v>
      </c>
      <c r="J231" s="47">
        <f>VLOOKUP($A231,'[4]Ave FTE cost'!$A$364:$X$391,COLUMN('[4]Ave FTE cost'!$F$7),FALSE)</f>
        <v>79.151402148105461</v>
      </c>
      <c r="K231" s="47">
        <f>VLOOKUP($A231,'[4]Ave FTE cost'!$A$407:$X$434,COLUMN('[4]Ave FTE cost'!$F$406),FALSE)</f>
        <v>80.564753678551085</v>
      </c>
      <c r="L231" s="47">
        <f>VLOOKUP($A231,'[4]Ave FTE cost'!$A$448:$X$477,COLUMN('[4]Ave FTE cost'!$F$406),FALSE)</f>
        <v>85.083576448972991</v>
      </c>
      <c r="M231" s="47">
        <f>VLOOKUP($A231,'[4]Ave FTE cost'!$A$490:$X$519,COLUMN('[4]Ave FTE cost'!$F$406),FALSE)</f>
        <v>86.642730895753317</v>
      </c>
      <c r="O231" s="209" t="s">
        <v>240</v>
      </c>
      <c r="Q231" s="89">
        <f t="shared" si="19"/>
        <v>2.7953634198544686E-2</v>
      </c>
      <c r="R231" s="89">
        <f t="shared" si="19"/>
        <v>3.8696934086575707E-2</v>
      </c>
      <c r="S231" s="89">
        <f t="shared" si="19"/>
        <v>1.1832941153186338E-2</v>
      </c>
      <c r="T231" s="89">
        <f t="shared" si="19"/>
        <v>3.5259079482951705E-2</v>
      </c>
      <c r="U231" s="89">
        <f t="shared" si="19"/>
        <v>-1.6261094337838511E-2</v>
      </c>
      <c r="V231" s="89">
        <f t="shared" si="19"/>
        <v>8.7282149975060896E-3</v>
      </c>
      <c r="W231" s="89">
        <f t="shared" si="19"/>
        <v>5.2069700863246027E-2</v>
      </c>
      <c r="X231" s="89">
        <f t="shared" si="19"/>
        <v>-1.7923576238558114E-2</v>
      </c>
      <c r="Y231" s="89">
        <f t="shared" si="19"/>
        <v>1.7856304400028389E-2</v>
      </c>
      <c r="Z231" s="89">
        <f t="shared" si="19"/>
        <v>5.6089326462186673E-2</v>
      </c>
      <c r="AA231" s="56">
        <f>VLOOKUP($O231,'[4]Ave FTE cost'!$A$492:$AZ$519,COLUMN('[4]Ave FTE cost'!$AJ$490),FALSE)</f>
        <v>5.2493914686353005E-2</v>
      </c>
    </row>
    <row r="232" spans="1:27">
      <c r="A232" s="209" t="s">
        <v>241</v>
      </c>
      <c r="B232" s="47">
        <f>VLOOKUP($A232,'[4]Ave FTE cost'!A$9:X$32,COLUMN('[4]Ave FTE cost'!$F$7),FALSE)</f>
        <v>71.371524538160102</v>
      </c>
      <c r="C232" s="47">
        <f>VLOOKUP($A232,'[4]Ave FTE cost'!$A$55:$X$78,COLUMN('[4]Ave FTE cost'!$F$7),FALSE)</f>
        <v>72.30047255757647</v>
      </c>
      <c r="D232" s="47">
        <f>VLOOKUP($A232,'[4]Ave FTE cost'!$A$100:$X$122,COLUMN('[4]Ave FTE cost'!$F$7),FALSE)</f>
        <v>75.233466581166155</v>
      </c>
      <c r="E232" s="47">
        <f>VLOOKUP($A232,'[4]Ave FTE cost'!$A$144:$X$166,COLUMN('[4]Ave FTE cost'!$F$7),FALSE)</f>
        <v>75.892246029489613</v>
      </c>
      <c r="F232" s="47">
        <f>VLOOKUP($A232,'[4]Ave FTE cost'!$A$186:$X$214,COLUMN('[4]Ave FTE cost'!$F$7),FALSE)</f>
        <v>79.298809906722411</v>
      </c>
      <c r="G232" s="47">
        <f>VLOOKUP($A232,'[4]Ave FTE cost'!$A$231:$X$259,COLUMN('[4]Ave FTE cost'!$F$7),FALSE)</f>
        <v>79.141619565791572</v>
      </c>
      <c r="H232" s="47">
        <f>VLOOKUP($A232,'[4]Ave FTE cost'!$A$275:$X$303,COLUMN('[4]Ave FTE cost'!$F$7),FALSE)</f>
        <v>79.605493018895118</v>
      </c>
      <c r="I232" s="47">
        <f>VLOOKUP($A232,'[4]Ave FTE cost'!$A$320:$X$347,COLUMN('[4]Ave FTE cost'!$F$7),FALSE)</f>
        <v>86.269113149847101</v>
      </c>
      <c r="J232" s="47">
        <f>VLOOKUP($A232,'[4]Ave FTE cost'!$A$364:$X$391,COLUMN('[4]Ave FTE cost'!$F$7),FALSE)</f>
        <v>84.589389263662369</v>
      </c>
      <c r="K232" s="47">
        <f>VLOOKUP($A232,'[4]Ave FTE cost'!$A$407:$X$434,COLUMN('[4]Ave FTE cost'!$F$406),FALSE)</f>
        <v>85.268432347400221</v>
      </c>
      <c r="L232" s="47">
        <f>VLOOKUP($A232,'[4]Ave FTE cost'!$A$448:$X$477,COLUMN('[4]Ave FTE cost'!$F$406),FALSE)</f>
        <v>91.197883181217108</v>
      </c>
      <c r="M232" s="47">
        <f>VLOOKUP($A232,'[4]Ave FTE cost'!$A$490:$X$519,COLUMN('[4]Ave FTE cost'!$F$406),FALSE)</f>
        <v>97.349239637151044</v>
      </c>
      <c r="O232" s="209" t="s">
        <v>241</v>
      </c>
      <c r="Q232" s="89">
        <f t="shared" si="19"/>
        <v>1.3015667318689417E-2</v>
      </c>
      <c r="R232" s="89">
        <f t="shared" si="19"/>
        <v>4.0566733796297161E-2</v>
      </c>
      <c r="S232" s="89">
        <f t="shared" si="19"/>
        <v>8.7564680754506075E-3</v>
      </c>
      <c r="T232" s="89">
        <f t="shared" si="19"/>
        <v>4.4886850178463611E-2</v>
      </c>
      <c r="U232" s="89">
        <f t="shared" si="19"/>
        <v>-1.9822534678104464E-3</v>
      </c>
      <c r="V232" s="89">
        <f t="shared" si="19"/>
        <v>5.8613085712495572E-3</v>
      </c>
      <c r="W232" s="89">
        <f t="shared" si="19"/>
        <v>8.3708044234715118E-2</v>
      </c>
      <c r="X232" s="89">
        <f t="shared" si="19"/>
        <v>-1.9470744799092832E-2</v>
      </c>
      <c r="Y232" s="89">
        <f t="shared" si="19"/>
        <v>8.0275208232241102E-3</v>
      </c>
      <c r="Z232" s="89">
        <f t="shared" si="19"/>
        <v>6.9538640157698062E-2</v>
      </c>
      <c r="AA232" s="56">
        <f>VLOOKUP($O232,'[4]Ave FTE cost'!$A$492:$AZ$519,COLUMN('[4]Ave FTE cost'!$AJ$490),FALSE)</f>
        <v>7.8270159252315175E-2</v>
      </c>
    </row>
    <row r="233" spans="1:27">
      <c r="A233" s="210" t="s">
        <v>242</v>
      </c>
      <c r="B233" s="217">
        <f>VLOOKUP($A233,'[4]Ave FTE cost'!A$9:X$32,COLUMN('[4]Ave FTE cost'!$F$7),FALSE)</f>
        <v>64.92602044023181</v>
      </c>
      <c r="C233" s="217">
        <f>VLOOKUP($A233,'[4]Ave FTE cost'!$A$55:$X$78,COLUMN('[4]Ave FTE cost'!$F$7),FALSE)</f>
        <v>69.458925095166407</v>
      </c>
      <c r="D233" s="217">
        <f>VLOOKUP($A233,'[4]Ave FTE cost'!$A$100:$X$122,COLUMN('[4]Ave FTE cost'!$F$7),FALSE)</f>
        <v>69.158158747678243</v>
      </c>
      <c r="E233" s="217">
        <f>VLOOKUP($A233,'[4]Ave FTE cost'!$A$144:$X$166,COLUMN('[4]Ave FTE cost'!$F$7),FALSE)</f>
        <v>70.665425793577015</v>
      </c>
      <c r="F233" s="217">
        <f>VLOOKUP($A233,'[4]Ave FTE cost'!$A$186:$X$214,COLUMN('[4]Ave FTE cost'!$F$7),FALSE)</f>
        <v>73.538829520466038</v>
      </c>
      <c r="G233" s="217">
        <f>VLOOKUP($A233,'[4]Ave FTE cost'!$A$231:$X$259,COLUMN('[4]Ave FTE cost'!$F$7),FALSE)</f>
        <v>75.71741580475431</v>
      </c>
      <c r="H233" s="217">
        <f>VLOOKUP($A233,'[4]Ave FTE cost'!$A$275:$X$303,COLUMN('[4]Ave FTE cost'!$F$7),FALSE)</f>
        <v>76.218173553249358</v>
      </c>
      <c r="I233" s="217">
        <f>VLOOKUP($A233,'[4]Ave FTE cost'!$A$320:$X$347,COLUMN('[4]Ave FTE cost'!$F$7),FALSE)</f>
        <v>79.815032327938525</v>
      </c>
      <c r="J233" s="217">
        <f>VLOOKUP($A233,'[4]Ave FTE cost'!$A$364:$X$391,COLUMN('[4]Ave FTE cost'!$F$7),FALSE)</f>
        <v>78.613749979111191</v>
      </c>
      <c r="K233" s="217">
        <f>VLOOKUP($A233,'[4]Ave FTE cost'!$A$407:$X$434,COLUMN('[4]Ave FTE cost'!$F$406),FALSE)</f>
        <v>80.672053448084924</v>
      </c>
      <c r="L233" s="217">
        <f>VLOOKUP($A233,'[4]Ave FTE cost'!$A$448:$X$477,COLUMN('[4]Ave FTE cost'!$F$406),FALSE)</f>
        <v>82.400895671262205</v>
      </c>
      <c r="M233" s="217">
        <f>VLOOKUP($A233,'[4]Ave FTE cost'!$A$490:$X$519,COLUMN('[4]Ave FTE cost'!$F$406),FALSE)</f>
        <v>86.588423924763049</v>
      </c>
      <c r="O233" s="210" t="s">
        <v>242</v>
      </c>
      <c r="P233" s="119"/>
      <c r="Q233" s="211">
        <f t="shared" si="19"/>
        <v>6.981645608646847E-2</v>
      </c>
      <c r="R233" s="211">
        <f t="shared" si="19"/>
        <v>-4.3301324786710893E-3</v>
      </c>
      <c r="S233" s="211">
        <f t="shared" si="19"/>
        <v>2.1794493566521966E-2</v>
      </c>
      <c r="T233" s="211">
        <f t="shared" si="19"/>
        <v>4.0662087500648703E-2</v>
      </c>
      <c r="U233" s="211">
        <f t="shared" si="19"/>
        <v>2.9624979055207445E-2</v>
      </c>
      <c r="V233" s="211">
        <f t="shared" si="19"/>
        <v>6.6135081760623216E-3</v>
      </c>
      <c r="W233" s="211">
        <f t="shared" si="19"/>
        <v>4.7191615949393473E-2</v>
      </c>
      <c r="X233" s="211">
        <f t="shared" si="19"/>
        <v>-1.505082831880078E-2</v>
      </c>
      <c r="Y233" s="211">
        <f t="shared" si="19"/>
        <v>2.618248677261481E-2</v>
      </c>
      <c r="Z233" s="211">
        <f t="shared" si="19"/>
        <v>2.1430497294702588E-2</v>
      </c>
      <c r="AA233" s="221">
        <f>VLOOKUP($O233,'[4]Ave FTE cost'!$A$492:$AZ$519,COLUMN('[4]Ave FTE cost'!$AJ$490),FALSE)</f>
        <v>5.509016635038444E-2</v>
      </c>
    </row>
    <row r="234" spans="1:27">
      <c r="A234" s="213" t="s">
        <v>156</v>
      </c>
      <c r="B234" s="47">
        <f>VLOOKUP($A234,'[4]Ave FTE cost'!A$9:X$32,COLUMN('[4]Ave FTE cost'!$F$7),FALSE)</f>
        <v>67.30276940428783</v>
      </c>
      <c r="C234" s="47">
        <f>VLOOKUP($A234,'[4]Ave FTE cost'!$A$55:$X$78,COLUMN('[4]Ave FTE cost'!$F$7),FALSE)</f>
        <v>69.927895720183443</v>
      </c>
      <c r="D234" s="47">
        <f>VLOOKUP($A234,'[4]Ave FTE cost'!$A$100:$X$122,COLUMN('[4]Ave FTE cost'!$F$7),FALSE)</f>
        <v>72.384436077473879</v>
      </c>
      <c r="E234" s="47">
        <f>VLOOKUP($A234,'[4]Ave FTE cost'!$A$144:$X$166,COLUMN('[4]Ave FTE cost'!$F$7),FALSE)</f>
        <v>72.876027994592633</v>
      </c>
      <c r="F234" s="47">
        <f>VLOOKUP($A234,'[4]Ave FTE cost'!$A$186:$X$214,COLUMN('[4]Ave FTE cost'!$F$7),FALSE)</f>
        <v>75.691335489786695</v>
      </c>
      <c r="G234" s="47">
        <f>VLOOKUP($A234,'[4]Ave FTE cost'!$A$231:$X$259,COLUMN('[4]Ave FTE cost'!$F$7),FALSE)</f>
        <v>76.902279704167668</v>
      </c>
      <c r="H234" s="47">
        <f>VLOOKUP($A234,'[4]Ave FTE cost'!$A$275:$X$303,COLUMN('[4]Ave FTE cost'!$F$7),FALSE)</f>
        <v>78.387177986933366</v>
      </c>
      <c r="I234" s="47">
        <f>VLOOKUP($A234,'[4]Ave FTE cost'!$A$320:$X$347,COLUMN('[4]Ave FTE cost'!$F$7),FALSE)</f>
        <v>79.798858146120722</v>
      </c>
      <c r="J234" s="47">
        <f>VLOOKUP($A234,'[4]Ave FTE cost'!$A$364:$X$391,COLUMN('[4]Ave FTE cost'!$F$7),FALSE)</f>
        <v>79.578296521529396</v>
      </c>
      <c r="K234" s="47">
        <f>VLOOKUP($A234,'[4]Ave FTE cost'!$A$407:$X$434,COLUMN('[4]Ave FTE cost'!$F$406),FALSE)</f>
        <v>81.054282452261347</v>
      </c>
      <c r="L234" s="47">
        <f>VLOOKUP($A234,'[4]Ave FTE cost'!$A$448:$X$477,COLUMN('[4]Ave FTE cost'!$F$406),FALSE)</f>
        <v>83.613308146859382</v>
      </c>
      <c r="M234" s="47">
        <f>VLOOKUP($A234,'[4]Ave FTE cost'!$A$490:$X$519,COLUMN('[4]Ave FTE cost'!$F$406),FALSE)</f>
        <v>85.702191920791876</v>
      </c>
      <c r="O234" s="213" t="s">
        <v>156</v>
      </c>
      <c r="Q234" s="89">
        <f t="shared" si="19"/>
        <v>3.9004729510110803E-2</v>
      </c>
      <c r="R234" s="89">
        <f t="shared" si="19"/>
        <v>3.5129619331322193E-2</v>
      </c>
      <c r="S234" s="89">
        <f t="shared" si="19"/>
        <v>6.7914035635034953E-3</v>
      </c>
      <c r="T234" s="89">
        <f t="shared" si="19"/>
        <v>3.8631461849196302E-2</v>
      </c>
      <c r="U234" s="89">
        <f t="shared" si="19"/>
        <v>1.5998452221052117E-2</v>
      </c>
      <c r="V234" s="89">
        <f t="shared" si="19"/>
        <v>1.9308898103904015E-2</v>
      </c>
      <c r="W234" s="89">
        <f t="shared" si="19"/>
        <v>1.8009069792290111E-2</v>
      </c>
      <c r="X234" s="89">
        <f t="shared" si="19"/>
        <v>-2.7639696822159276E-3</v>
      </c>
      <c r="Y234" s="89">
        <f t="shared" si="19"/>
        <v>1.854759394519867E-2</v>
      </c>
      <c r="Z234" s="89">
        <f t="shared" si="19"/>
        <v>3.1571751882514487E-2</v>
      </c>
      <c r="AA234" s="56">
        <f>VLOOKUP($O234,'[4]Ave FTE cost'!$A$492:$AZ$519,COLUMN('[4]Ave FTE cost'!$AJ$490),FALSE)</f>
        <v>3.9131155638758797E-2</v>
      </c>
    </row>
    <row r="235" spans="1:27">
      <c r="D235" s="101"/>
      <c r="E235" s="101"/>
      <c r="F235" s="101"/>
      <c r="G235" s="101"/>
      <c r="H235" s="101"/>
      <c r="I235" s="101"/>
      <c r="J235" s="101"/>
    </row>
    <row r="236" spans="1:27">
      <c r="A236" s="204" t="s">
        <v>263</v>
      </c>
      <c r="K236" s="9"/>
      <c r="L236" s="9"/>
      <c r="M236" s="9"/>
      <c r="O236" s="109" t="s">
        <v>260</v>
      </c>
      <c r="Y236" s="9"/>
    </row>
    <row r="237" spans="1:27">
      <c r="A237" s="209" t="s">
        <v>221</v>
      </c>
      <c r="B237" s="47">
        <f>VLOOKUP($A237,'[4]Ave FTE cost'!A$9:Z$32,COLUMN('[4]Ave FTE cost'!$Z$7),FALSE)</f>
        <v>68.247499273422946</v>
      </c>
      <c r="C237" s="47">
        <f>VLOOKUP($A237,'[4]Ave FTE cost'!$A$55:$Z$78,COLUMN('[4]Ave FTE cost'!$Z$7),FALSE)</f>
        <v>70.5751701044166</v>
      </c>
      <c r="D237" s="47">
        <f>VLOOKUP($A237,'[4]Ave FTE cost'!$A$100:$Z$122,COLUMN('[4]Ave FTE cost'!$Z$7),FALSE)</f>
        <v>72.640398777899307</v>
      </c>
      <c r="E237" s="57">
        <f>VLOOKUP($A237,'[4]Ave FTE cost'!$A$144:$Z$166,COLUMN('[4]Ave FTE cost'!$Z$7),FALSE)</f>
        <v>75.076027272256354</v>
      </c>
      <c r="F237" s="57">
        <f>VLOOKUP($A237,'[4]Ave FTE cost'!$A$186:$Z$214,COLUMN('[4]Ave FTE cost'!$Z$7),FALSE)</f>
        <v>76.891729726088315</v>
      </c>
      <c r="G237" s="57">
        <f>VLOOKUP($A237,'[4]Ave FTE cost'!$A$231:$Z$259,COLUMN('[4]Ave FTE cost'!$Z$7),FALSE)</f>
        <v>77.534222663963007</v>
      </c>
      <c r="H237" s="47">
        <f>VLOOKUP($A237,'[4]Ave FTE cost'!$A$275:$Z$303,COLUMN('[4]Ave FTE cost'!$Z$7),FALSE)</f>
        <v>75.147127968440657</v>
      </c>
      <c r="I237" s="47">
        <f>VLOOKUP($A237,'[4]Ave FTE cost'!$A$320:$Z$347,COLUMN('[4]Ave FTE cost'!$Z$7),FALSE)</f>
        <v>74.41211221292248</v>
      </c>
      <c r="J237" s="47">
        <f>VLOOKUP($A237,'[4]Ave FTE cost'!$A$364:$Z$391,COLUMN('[4]Ave FTE cost'!$Z$7),FALSE)</f>
        <v>75.759469619723447</v>
      </c>
      <c r="K237" s="47">
        <f>VLOOKUP($A237,'[4]Ave FTE cost'!$A$407:$Z$434,COLUMN('[4]Ave FTE cost'!$Z$406),FALSE)</f>
        <v>75.196536351025387</v>
      </c>
      <c r="L237" s="47">
        <f>VLOOKUP($A237,'[4]Ave FTE cost'!$A$448:$Z$477,COLUMN('[4]Ave FTE cost'!$Z$406),FALSE)</f>
        <v>80.370276526647245</v>
      </c>
      <c r="M237" s="47">
        <f>VLOOKUP($A237,'[4]Ave FTE cost'!$A$490:$Z$519,COLUMN('[4]Ave FTE cost'!$Z$406),FALSE)</f>
        <v>79.751560408069878</v>
      </c>
      <c r="O237" s="209" t="s">
        <v>221</v>
      </c>
      <c r="Q237" s="89">
        <f>C237/B237-1</f>
        <v>3.4106316799509484E-2</v>
      </c>
      <c r="R237" s="89">
        <f t="shared" ref="R237:Z247" si="20">D237/C237-1</f>
        <v>2.9262822468967276E-2</v>
      </c>
      <c r="S237" s="89">
        <f t="shared" si="20"/>
        <v>3.3529943878805923E-2</v>
      </c>
      <c r="T237" s="89">
        <f t="shared" si="20"/>
        <v>2.4184849942145759E-2</v>
      </c>
      <c r="U237" s="89">
        <f t="shared" si="20"/>
        <v>8.3558132996024437E-3</v>
      </c>
      <c r="V237" s="89">
        <f t="shared" si="20"/>
        <v>-3.0787626592558071E-2</v>
      </c>
      <c r="W237" s="89">
        <f t="shared" si="20"/>
        <v>-9.7810225804885187E-3</v>
      </c>
      <c r="X237" s="89">
        <f t="shared" si="20"/>
        <v>1.8106694820671621E-2</v>
      </c>
      <c r="Y237" s="89">
        <f t="shared" si="20"/>
        <v>-7.4305333910561489E-3</v>
      </c>
      <c r="Z237" s="89">
        <f t="shared" si="20"/>
        <v>6.8802905382108204E-2</v>
      </c>
      <c r="AA237" s="56">
        <f>VLOOKUP($O237,'[4]Ave FTE cost'!$A$492:$BB$519,COLUMN('[4]Ave FTE cost'!$BB$490),FALSE)</f>
        <v>4.1607220057756855E-2</v>
      </c>
    </row>
    <row r="238" spans="1:27">
      <c r="A238" s="209" t="s">
        <v>222</v>
      </c>
      <c r="B238" s="47">
        <f>VLOOKUP($A238,'[4]Ave FTE cost'!A$9:Z$32,COLUMN('[4]Ave FTE cost'!$Z$7),FALSE)</f>
        <v>53.626621726936186</v>
      </c>
      <c r="C238" s="47">
        <f>VLOOKUP($A238,'[4]Ave FTE cost'!$A$55:$Z$78,COLUMN('[4]Ave FTE cost'!$Z$7),FALSE)</f>
        <v>57.641737626334034</v>
      </c>
      <c r="D238" s="47">
        <f>VLOOKUP($A238,'[4]Ave FTE cost'!$A$100:$Z$122,COLUMN('[4]Ave FTE cost'!$Z$7),FALSE)</f>
        <v>59.083601362908198</v>
      </c>
      <c r="E238" s="47">
        <f>VLOOKUP($A238,'[4]Ave FTE cost'!$A$144:$Z$166,COLUMN('[4]Ave FTE cost'!$Z$7),FALSE)</f>
        <v>59.805863452680448</v>
      </c>
      <c r="F238" s="47">
        <f>VLOOKUP($A238,'[4]Ave FTE cost'!$A$186:$Z$214,COLUMN('[4]Ave FTE cost'!$Z$7),FALSE)</f>
        <v>62.286466474701776</v>
      </c>
      <c r="G238" s="47">
        <f>VLOOKUP($A238,'[4]Ave FTE cost'!$A$231:$Z$259,COLUMN('[4]Ave FTE cost'!$Z$7),FALSE)</f>
        <v>63.172402437016309</v>
      </c>
      <c r="H238" s="47">
        <f>VLOOKUP($A238,'[4]Ave FTE cost'!$A$275:$Z$303,COLUMN('[4]Ave FTE cost'!$Z$7),FALSE)</f>
        <v>65.059033409017189</v>
      </c>
      <c r="I238" s="47">
        <f>VLOOKUP($A238,'[4]Ave FTE cost'!$A$320:$Z$347,COLUMN('[4]Ave FTE cost'!$Z$7),FALSE)</f>
        <v>65.718189581554228</v>
      </c>
      <c r="J238" s="47">
        <f>VLOOKUP($A238,'[4]Ave FTE cost'!$A$364:$Z$391,COLUMN('[4]Ave FTE cost'!$Z$7),FALSE)</f>
        <v>67.709822944898917</v>
      </c>
      <c r="K238" s="47">
        <f>VLOOKUP($A238,'[4]Ave FTE cost'!$A$407:$Z$434,COLUMN('[4]Ave FTE cost'!$Z$406),FALSE)</f>
        <v>68.873894184103264</v>
      </c>
      <c r="L238" s="47">
        <f>VLOOKUP($A238,'[4]Ave FTE cost'!$A$448:$Z$477,COLUMN('[4]Ave FTE cost'!$Z$406),FALSE)</f>
        <v>69.837860214582506</v>
      </c>
      <c r="M238" s="47">
        <f>VLOOKUP($A238,'[4]Ave FTE cost'!$A$490:$Z$519,COLUMN('[4]Ave FTE cost'!$Z$406),FALSE)</f>
        <v>73.087228023467659</v>
      </c>
      <c r="O238" s="209" t="s">
        <v>222</v>
      </c>
      <c r="Q238" s="89">
        <f t="shared" ref="Q238:Z259" si="21">C238/B238-1</f>
        <v>7.4871691896658987E-2</v>
      </c>
      <c r="R238" s="89">
        <f t="shared" si="20"/>
        <v>2.5014230936637016E-2</v>
      </c>
      <c r="S238" s="89">
        <f t="shared" si="20"/>
        <v>1.2224408687207644E-2</v>
      </c>
      <c r="T238" s="89">
        <f t="shared" si="20"/>
        <v>4.1477588965570744E-2</v>
      </c>
      <c r="U238" s="89">
        <f t="shared" si="20"/>
        <v>1.4223570744286151E-2</v>
      </c>
      <c r="V238" s="89">
        <f t="shared" si="20"/>
        <v>2.9864796955947348E-2</v>
      </c>
      <c r="W238" s="89">
        <f t="shared" si="20"/>
        <v>1.0131662553192422E-2</v>
      </c>
      <c r="X238" s="89">
        <f t="shared" si="20"/>
        <v>3.0305663866061483E-2</v>
      </c>
      <c r="Y238" s="89">
        <f t="shared" si="20"/>
        <v>1.7192058531177112E-2</v>
      </c>
      <c r="Z238" s="89">
        <f t="shared" si="20"/>
        <v>1.3996101743608547E-2</v>
      </c>
      <c r="AA238" s="56">
        <f>VLOOKUP($O238,'[4]Ave FTE cost'!$A$492:$BB$519,COLUMN('[4]Ave FTE cost'!$BB$490),FALSE)</f>
        <v>1.1911677431680978E-2</v>
      </c>
    </row>
    <row r="239" spans="1:27">
      <c r="A239" s="209" t="s">
        <v>223</v>
      </c>
      <c r="B239" s="47">
        <f>VLOOKUP($A239,'[4]Ave FTE cost'!A$9:Z$32,COLUMN('[4]Ave FTE cost'!$Z$7),FALSE)</f>
        <v>54.243886869271691</v>
      </c>
      <c r="C239" s="47">
        <f>VLOOKUP($A239,'[4]Ave FTE cost'!$A$55:$Z$78,COLUMN('[4]Ave FTE cost'!$Z$7),FALSE)</f>
        <v>56.55168187634191</v>
      </c>
      <c r="D239" s="47">
        <f>VLOOKUP($A239,'[4]Ave FTE cost'!$A$100:$Z$122,COLUMN('[4]Ave FTE cost'!$Z$7),FALSE)</f>
        <v>57.935110655423635</v>
      </c>
      <c r="E239" s="47">
        <f>VLOOKUP($A239,'[4]Ave FTE cost'!$A$144:$Z$166,COLUMN('[4]Ave FTE cost'!$Z$7),FALSE)</f>
        <v>59.568021970482064</v>
      </c>
      <c r="F239" s="47">
        <f>VLOOKUP($A239,'[4]Ave FTE cost'!$A$186:$Z$214,COLUMN('[4]Ave FTE cost'!$Z$7),FALSE)</f>
        <v>61.335244213490739</v>
      </c>
      <c r="G239" s="47">
        <f>VLOOKUP($A239,'[4]Ave FTE cost'!$A$231:$Z$259,COLUMN('[4]Ave FTE cost'!$Z$7),FALSE)</f>
        <v>62.145797331975523</v>
      </c>
      <c r="H239" s="47">
        <f>VLOOKUP($A239,'[4]Ave FTE cost'!$A$275:$Z$303,COLUMN('[4]Ave FTE cost'!$Z$7),FALSE)</f>
        <v>63.589051677354746</v>
      </c>
      <c r="I239" s="47">
        <f>VLOOKUP($A239,'[4]Ave FTE cost'!$A$320:$Z$347,COLUMN('[4]Ave FTE cost'!$Z$7),FALSE)</f>
        <v>65.201140091646749</v>
      </c>
      <c r="J239" s="47">
        <f>VLOOKUP($A239,'[4]Ave FTE cost'!$A$364:$Z$391,COLUMN('[4]Ave FTE cost'!$Z$7),FALSE)</f>
        <v>68.442116924100702</v>
      </c>
      <c r="K239" s="47">
        <f>VLOOKUP($A239,'[4]Ave FTE cost'!$A$407:$Z$434,COLUMN('[4]Ave FTE cost'!$Z$406),FALSE)</f>
        <v>68.555543995228447</v>
      </c>
      <c r="L239" s="47">
        <f>VLOOKUP($A239,'[4]Ave FTE cost'!$A$448:$Z$477,COLUMN('[4]Ave FTE cost'!$Z$406),FALSE)</f>
        <v>69.490615381501058</v>
      </c>
      <c r="M239" s="47">
        <f>VLOOKUP($A239,'[4]Ave FTE cost'!$A$490:$Z$519,COLUMN('[4]Ave FTE cost'!$Z$406),FALSE)</f>
        <v>73.164800800550367</v>
      </c>
      <c r="O239" s="209" t="s">
        <v>223</v>
      </c>
      <c r="Q239" s="89">
        <f t="shared" si="21"/>
        <v>4.2544794266532238E-2</v>
      </c>
      <c r="R239" s="89">
        <f t="shared" si="20"/>
        <v>2.4463088155481927E-2</v>
      </c>
      <c r="S239" s="89">
        <f t="shared" si="20"/>
        <v>2.8185176425576719E-2</v>
      </c>
      <c r="T239" s="89">
        <f t="shared" si="20"/>
        <v>2.9667297730389564E-2</v>
      </c>
      <c r="U239" s="89">
        <f t="shared" si="20"/>
        <v>1.321512824932225E-2</v>
      </c>
      <c r="V239" s="89">
        <f t="shared" si="20"/>
        <v>2.3223683778156756E-2</v>
      </c>
      <c r="W239" s="89">
        <f t="shared" si="20"/>
        <v>2.5351666234489478E-2</v>
      </c>
      <c r="X239" s="89">
        <f t="shared" si="20"/>
        <v>4.9707364440229718E-2</v>
      </c>
      <c r="Y239" s="89">
        <f t="shared" si="20"/>
        <v>1.6572700586325873E-3</v>
      </c>
      <c r="Z239" s="89">
        <f t="shared" si="20"/>
        <v>1.3639617334780363E-2</v>
      </c>
      <c r="AA239" s="56">
        <f>VLOOKUP($O239,'[4]Ave FTE cost'!$A$492:$BB$519,COLUMN('[4]Ave FTE cost'!$BB$490),FALSE)</f>
        <v>6.0169613120386822E-2</v>
      </c>
    </row>
    <row r="240" spans="1:27">
      <c r="A240" s="209" t="s">
        <v>224</v>
      </c>
      <c r="B240" s="47">
        <f>VLOOKUP($A240,'[4]Ave FTE cost'!A$9:Z$32,COLUMN('[4]Ave FTE cost'!$Z$7),FALSE)</f>
        <v>56.165934401131445</v>
      </c>
      <c r="C240" s="47">
        <f>VLOOKUP($A240,'[4]Ave FTE cost'!$A$55:$Z$78,COLUMN('[4]Ave FTE cost'!$Z$7),FALSE)</f>
        <v>60.532482126170507</v>
      </c>
      <c r="D240" s="47">
        <f>VLOOKUP($A240,'[4]Ave FTE cost'!$A$100:$Z$122,COLUMN('[4]Ave FTE cost'!$Z$7),FALSE)</f>
        <v>60.580407782490312</v>
      </c>
      <c r="E240" s="47">
        <f>VLOOKUP($A240,'[4]Ave FTE cost'!$A$144:$Z$166,COLUMN('[4]Ave FTE cost'!$Z$7),FALSE)</f>
        <v>61.876229266959832</v>
      </c>
      <c r="F240" s="47">
        <f>VLOOKUP($A240,'[4]Ave FTE cost'!$A$186:$Z$214,COLUMN('[4]Ave FTE cost'!$Z$7),FALSE)</f>
        <v>65.332995728603791</v>
      </c>
      <c r="G240" s="47">
        <f>VLOOKUP($A240,'[4]Ave FTE cost'!$A$231:$Z$259,COLUMN('[4]Ave FTE cost'!$Z$7),FALSE)</f>
        <v>65.030577998484148</v>
      </c>
      <c r="H240" s="47">
        <f>VLOOKUP($A240,'[4]Ave FTE cost'!$A$275:$Z$303,COLUMN('[4]Ave FTE cost'!$Z$7),FALSE)</f>
        <v>66.551755256734111</v>
      </c>
      <c r="I240" s="47">
        <f>VLOOKUP($A240,'[4]Ave FTE cost'!$A$320:$Z$347,COLUMN('[4]Ave FTE cost'!$Z$7),FALSE)</f>
        <v>68.020344258837042</v>
      </c>
      <c r="J240" s="47">
        <f>VLOOKUP($A240,'[4]Ave FTE cost'!$A$364:$Z$391,COLUMN('[4]Ave FTE cost'!$Z$7),FALSE)</f>
        <v>68.706342310894485</v>
      </c>
      <c r="K240" s="47">
        <f>VLOOKUP($A240,'[4]Ave FTE cost'!$A$407:$Z$434,COLUMN('[4]Ave FTE cost'!$Z$406),FALSE)</f>
        <v>71.823892133411746</v>
      </c>
      <c r="L240" s="47">
        <f>VLOOKUP($A240,'[4]Ave FTE cost'!$A$448:$Z$477,COLUMN('[4]Ave FTE cost'!$Z$406),FALSE)</f>
        <v>72.147651636757743</v>
      </c>
      <c r="M240" s="47">
        <f>VLOOKUP($A240,'[4]Ave FTE cost'!$A$490:$Z$519,COLUMN('[4]Ave FTE cost'!$Z$406),FALSE)</f>
        <v>74.057596543412203</v>
      </c>
      <c r="O240" s="209" t="s">
        <v>224</v>
      </c>
      <c r="Q240" s="89">
        <f t="shared" si="21"/>
        <v>7.7743703039882206E-2</v>
      </c>
      <c r="R240" s="89">
        <f t="shared" si="20"/>
        <v>7.9173453056013976E-4</v>
      </c>
      <c r="S240" s="89">
        <f t="shared" si="20"/>
        <v>2.1390108318882106E-2</v>
      </c>
      <c r="T240" s="89">
        <f t="shared" si="20"/>
        <v>5.5865822830444722E-2</v>
      </c>
      <c r="U240" s="89">
        <f t="shared" si="20"/>
        <v>-4.628866727249159E-3</v>
      </c>
      <c r="V240" s="89">
        <f t="shared" si="20"/>
        <v>2.3391722864364306E-2</v>
      </c>
      <c r="W240" s="89">
        <f t="shared" si="20"/>
        <v>2.2066871060539395E-2</v>
      </c>
      <c r="X240" s="89">
        <f t="shared" si="20"/>
        <v>1.008518935815772E-2</v>
      </c>
      <c r="Y240" s="89">
        <f t="shared" si="20"/>
        <v>4.5374993307174316E-2</v>
      </c>
      <c r="Z240" s="89">
        <f t="shared" si="20"/>
        <v>4.5076853081786883E-3</v>
      </c>
      <c r="AA240" s="56">
        <f>VLOOKUP($O240,'[4]Ave FTE cost'!$A$492:$BB$519,COLUMN('[4]Ave FTE cost'!$BB$490),FALSE)</f>
        <v>2.0086458331481483E-2</v>
      </c>
    </row>
    <row r="241" spans="1:27">
      <c r="A241" s="209" t="s">
        <v>225</v>
      </c>
      <c r="B241" s="47">
        <f>VLOOKUP($A241,'[4]Ave FTE cost'!A$9:Z$32,COLUMN('[4]Ave FTE cost'!$Z$7),FALSE)</f>
        <v>62.791567464295802</v>
      </c>
      <c r="C241" s="47">
        <f>VLOOKUP($A241,'[4]Ave FTE cost'!$A$55:$Z$78,COLUMN('[4]Ave FTE cost'!$Z$7),FALSE)</f>
        <v>63.618591773379123</v>
      </c>
      <c r="D241" s="47">
        <f>VLOOKUP($A241,'[4]Ave FTE cost'!$A$100:$Z$122,COLUMN('[4]Ave FTE cost'!$Z$7),FALSE)</f>
        <v>62.973321044439807</v>
      </c>
      <c r="E241" s="47">
        <f>VLOOKUP($A241,'[4]Ave FTE cost'!$A$144:$Z$166,COLUMN('[4]Ave FTE cost'!$Z$7),FALSE)</f>
        <v>66.317559908771059</v>
      </c>
      <c r="F241" s="47">
        <f>VLOOKUP($A241,'[4]Ave FTE cost'!$A$186:$Z$214,COLUMN('[4]Ave FTE cost'!$Z$7),FALSE)</f>
        <v>67.513062978882445</v>
      </c>
      <c r="G241" s="47">
        <f>VLOOKUP($A241,'[4]Ave FTE cost'!$A$231:$Z$259,COLUMN('[4]Ave FTE cost'!$Z$7),FALSE)</f>
        <v>66.980534759358292</v>
      </c>
      <c r="H241" s="47">
        <f>VLOOKUP($A241,'[4]Ave FTE cost'!$A$275:$Z$303,COLUMN('[4]Ave FTE cost'!$Z$7),FALSE)</f>
        <v>68.84832500625852</v>
      </c>
      <c r="I241" s="47">
        <f>VLOOKUP($A241,'[4]Ave FTE cost'!$A$320:$Z$347,COLUMN('[4]Ave FTE cost'!$Z$7),FALSE)</f>
        <v>69.775294934073571</v>
      </c>
      <c r="J241" s="47">
        <f>VLOOKUP($A241,'[4]Ave FTE cost'!$A$364:$Z$391,COLUMN('[4]Ave FTE cost'!$Z$7),FALSE)</f>
        <v>71.327401415571288</v>
      </c>
      <c r="K241" s="47">
        <f>VLOOKUP($A241,'[4]Ave FTE cost'!$A$407:$Z$434,COLUMN('[4]Ave FTE cost'!$Z$406),FALSE)</f>
        <v>73.25393438250201</v>
      </c>
      <c r="L241" s="47">
        <f>VLOOKUP($A241,'[4]Ave FTE cost'!$A$448:$Z$477,COLUMN('[4]Ave FTE cost'!$Z$406),FALSE)</f>
        <v>74.465136026650129</v>
      </c>
      <c r="M241" s="47">
        <f>VLOOKUP($A241,'[4]Ave FTE cost'!$A$490:$Z$519,COLUMN('[4]Ave FTE cost'!$Z$406),FALSE)</f>
        <v>75.518590490996246</v>
      </c>
      <c r="O241" s="209" t="s">
        <v>225</v>
      </c>
      <c r="Q241" s="89">
        <f t="shared" si="21"/>
        <v>1.3170945438710113E-2</v>
      </c>
      <c r="R241" s="89">
        <f t="shared" si="20"/>
        <v>-1.0142801199339413E-2</v>
      </c>
      <c r="S241" s="89">
        <f t="shared" si="20"/>
        <v>5.3105645515681976E-2</v>
      </c>
      <c r="T241" s="89">
        <f t="shared" si="20"/>
        <v>1.8026945981667097E-2</v>
      </c>
      <c r="U241" s="89">
        <f t="shared" si="20"/>
        <v>-7.8877804683624708E-3</v>
      </c>
      <c r="V241" s="89">
        <f t="shared" si="20"/>
        <v>2.7885567853566107E-2</v>
      </c>
      <c r="W241" s="89">
        <f t="shared" si="20"/>
        <v>1.3463943062242745E-2</v>
      </c>
      <c r="X241" s="89">
        <f t="shared" si="20"/>
        <v>2.2244355727399023E-2</v>
      </c>
      <c r="Y241" s="89">
        <f t="shared" si="20"/>
        <v>2.7009717565711577E-2</v>
      </c>
      <c r="Z241" s="89">
        <f t="shared" si="20"/>
        <v>1.6534287944504289E-2</v>
      </c>
      <c r="AA241" s="56">
        <f>VLOOKUP($O241,'[4]Ave FTE cost'!$A$492:$BB$519,COLUMN('[4]Ave FTE cost'!$BB$490),FALSE)</f>
        <v>4.3385676413503882E-2</v>
      </c>
    </row>
    <row r="242" spans="1:27">
      <c r="A242" s="209" t="s">
        <v>226</v>
      </c>
      <c r="B242" s="47">
        <f>VLOOKUP($A242,'[4]Ave FTE cost'!A$9:Z$32,COLUMN('[4]Ave FTE cost'!$Z$7),FALSE)</f>
        <v>56.349363740335356</v>
      </c>
      <c r="C242" s="47">
        <f>VLOOKUP($A242,'[4]Ave FTE cost'!$A$55:$Z$78,COLUMN('[4]Ave FTE cost'!$Z$7),FALSE)</f>
        <v>56.967486836141944</v>
      </c>
      <c r="D242" s="47">
        <f>VLOOKUP($A242,'[4]Ave FTE cost'!$A$100:$Z$122,COLUMN('[4]Ave FTE cost'!$Z$7),FALSE)</f>
        <v>58.350602389785756</v>
      </c>
      <c r="E242" s="47">
        <f>VLOOKUP($A242,'[4]Ave FTE cost'!$A$144:$Z$166,COLUMN('[4]Ave FTE cost'!$Z$7),FALSE)</f>
        <v>59.70510418983428</v>
      </c>
      <c r="F242" s="47">
        <f>VLOOKUP($A242,'[4]Ave FTE cost'!$A$186:$Z$214,COLUMN('[4]Ave FTE cost'!$Z$7),FALSE)</f>
        <v>62.388593906839297</v>
      </c>
      <c r="G242" s="47">
        <f>VLOOKUP($A242,'[4]Ave FTE cost'!$A$231:$Z$259,COLUMN('[4]Ave FTE cost'!$Z$7),FALSE)</f>
        <v>62.698178796772758</v>
      </c>
      <c r="H242" s="47">
        <f>VLOOKUP($A242,'[4]Ave FTE cost'!$A$275:$Z$303,COLUMN('[4]Ave FTE cost'!$Z$7),FALSE)</f>
        <v>63.540108035040177</v>
      </c>
      <c r="I242" s="47">
        <f>VLOOKUP($A242,'[4]Ave FTE cost'!$A$320:$Z$347,COLUMN('[4]Ave FTE cost'!$Z$7),FALSE)</f>
        <v>64.72755568578863</v>
      </c>
      <c r="J242" s="47">
        <f>VLOOKUP($A242,'[4]Ave FTE cost'!$A$364:$Z$391,COLUMN('[4]Ave FTE cost'!$Z$7),FALSE)</f>
        <v>66.296807503534694</v>
      </c>
      <c r="K242" s="47">
        <f>VLOOKUP($A242,'[4]Ave FTE cost'!$A$407:$Z$434,COLUMN('[4]Ave FTE cost'!$Z$406),FALSE)</f>
        <v>68.309565165635377</v>
      </c>
      <c r="L242" s="47">
        <f>VLOOKUP($A242,'[4]Ave FTE cost'!$A$448:$Z$477,COLUMN('[4]Ave FTE cost'!$Z$406),FALSE)</f>
        <v>69.67595931564955</v>
      </c>
      <c r="M242" s="47">
        <f>VLOOKUP($A242,'[4]Ave FTE cost'!$A$490:$Z$519,COLUMN('[4]Ave FTE cost'!$Z$406),FALSE)</f>
        <v>72.180732104283337</v>
      </c>
      <c r="O242" s="209" t="s">
        <v>226</v>
      </c>
      <c r="Q242" s="89">
        <f t="shared" si="21"/>
        <v>1.096947782152391E-2</v>
      </c>
      <c r="R242" s="89">
        <f t="shared" si="20"/>
        <v>2.427903406766263E-2</v>
      </c>
      <c r="S242" s="89">
        <f t="shared" si="20"/>
        <v>2.3213158811975276E-2</v>
      </c>
      <c r="T242" s="89">
        <f t="shared" si="20"/>
        <v>4.4945733759592432E-2</v>
      </c>
      <c r="U242" s="89">
        <f t="shared" si="20"/>
        <v>4.9622033539615806E-3</v>
      </c>
      <c r="V242" s="89">
        <f t="shared" si="20"/>
        <v>1.3428288579105496E-2</v>
      </c>
      <c r="W242" s="89">
        <f t="shared" si="20"/>
        <v>1.8688159140264782E-2</v>
      </c>
      <c r="X242" s="89">
        <f t="shared" si="20"/>
        <v>2.4243952998376672E-2</v>
      </c>
      <c r="Y242" s="89">
        <f t="shared" si="20"/>
        <v>3.0359797671906996E-2</v>
      </c>
      <c r="Z242" s="89">
        <f t="shared" si="20"/>
        <v>2.0002969521193403E-2</v>
      </c>
      <c r="AA242" s="56">
        <f>VLOOKUP($O242,'[4]Ave FTE cost'!$A$492:$BB$519,COLUMN('[4]Ave FTE cost'!$BB$490),FALSE)</f>
        <v>3.8381194506873939E-2</v>
      </c>
    </row>
    <row r="243" spans="1:27">
      <c r="A243" s="209" t="s">
        <v>227</v>
      </c>
      <c r="B243" s="47">
        <f>VLOOKUP($A243,'[4]Ave FTE cost'!A$9:Z$32,COLUMN('[4]Ave FTE cost'!$Z$7),FALSE)</f>
        <v>54.788933789244638</v>
      </c>
      <c r="C243" s="47">
        <f>VLOOKUP($A243,'[4]Ave FTE cost'!$A$55:$Z$78,COLUMN('[4]Ave FTE cost'!$Z$7),FALSE)</f>
        <v>59.073425116760106</v>
      </c>
      <c r="D243" s="47">
        <f>VLOOKUP($A243,'[4]Ave FTE cost'!$A$100:$Z$122,COLUMN('[4]Ave FTE cost'!$Z$7),FALSE)</f>
        <v>61.002624017943447</v>
      </c>
      <c r="E243" s="47">
        <f>VLOOKUP($A243,'[4]Ave FTE cost'!$A$144:$Z$166,COLUMN('[4]Ave FTE cost'!$Z$7),FALSE)</f>
        <v>62.008825043255214</v>
      </c>
      <c r="F243" s="47">
        <f>VLOOKUP($A243,'[4]Ave FTE cost'!$A$186:$Z$214,COLUMN('[4]Ave FTE cost'!$Z$7),FALSE)</f>
        <v>62.544081488638099</v>
      </c>
      <c r="G243" s="47">
        <f>VLOOKUP($A243,'[4]Ave FTE cost'!$A$231:$Z$259,COLUMN('[4]Ave FTE cost'!$Z$7),FALSE)</f>
        <v>61.610115447234236</v>
      </c>
      <c r="H243" s="47">
        <f>VLOOKUP($A243,'[4]Ave FTE cost'!$A$275:$Z$303,COLUMN('[4]Ave FTE cost'!$Z$7),FALSE)</f>
        <v>65.09066474589217</v>
      </c>
      <c r="I243" s="47">
        <f>VLOOKUP($A243,'[4]Ave FTE cost'!$A$320:$Z$347,COLUMN('[4]Ave FTE cost'!$Z$7),FALSE)</f>
        <v>65.552414894924425</v>
      </c>
      <c r="J243" s="47">
        <f>VLOOKUP($A243,'[4]Ave FTE cost'!$A$364:$Z$391,COLUMN('[4]Ave FTE cost'!$Z$7),FALSE)</f>
        <v>66.288728067725742</v>
      </c>
      <c r="K243" s="47">
        <f>VLOOKUP($A243,'[4]Ave FTE cost'!$A$407:$Z$434,COLUMN('[4]Ave FTE cost'!$Z$406),FALSE)</f>
        <v>68.262262839997632</v>
      </c>
      <c r="L243" s="47">
        <f>VLOOKUP($A243,'[4]Ave FTE cost'!$A$448:$Z$477,COLUMN('[4]Ave FTE cost'!$Z$406),FALSE)</f>
        <v>70.108293497404816</v>
      </c>
      <c r="M243" s="47">
        <f>VLOOKUP($A243,'[4]Ave FTE cost'!$A$490:$Z$519,COLUMN('[4]Ave FTE cost'!$Z$406),FALSE)</f>
        <v>72.649075383154241</v>
      </c>
      <c r="O243" s="209" t="s">
        <v>227</v>
      </c>
      <c r="Q243" s="89">
        <f t="shared" si="21"/>
        <v>7.8199939863705437E-2</v>
      </c>
      <c r="R243" s="89">
        <f t="shared" si="20"/>
        <v>3.2657644234615368E-2</v>
      </c>
      <c r="S243" s="89">
        <f t="shared" si="20"/>
        <v>1.6494389241613616E-2</v>
      </c>
      <c r="T243" s="89">
        <f t="shared" si="20"/>
        <v>8.6319398087209009E-3</v>
      </c>
      <c r="U243" s="89">
        <f t="shared" si="20"/>
        <v>-1.4932924413855631E-2</v>
      </c>
      <c r="V243" s="89">
        <f t="shared" si="20"/>
        <v>5.6493146837857111E-2</v>
      </c>
      <c r="W243" s="89">
        <f t="shared" si="20"/>
        <v>7.093953500626915E-3</v>
      </c>
      <c r="X243" s="89">
        <f t="shared" si="20"/>
        <v>1.1232433984035062E-2</v>
      </c>
      <c r="Y243" s="89">
        <f t="shared" si="20"/>
        <v>2.9771800271315652E-2</v>
      </c>
      <c r="Z243" s="89">
        <f t="shared" si="20"/>
        <v>2.7043209243358346E-2</v>
      </c>
      <c r="AA243" s="56">
        <f>VLOOKUP($O243,'[4]Ave FTE cost'!$A$492:$BB$519,COLUMN('[4]Ave FTE cost'!$BB$490),FALSE)</f>
        <v>4.7091011030362617E-2</v>
      </c>
    </row>
    <row r="244" spans="1:27">
      <c r="A244" s="209" t="s">
        <v>228</v>
      </c>
      <c r="B244" s="47">
        <f>VLOOKUP($A244,'[4]Ave FTE cost'!A$9:Z$32,COLUMN('[4]Ave FTE cost'!$Z$7),FALSE)</f>
        <v>58.435640613501135</v>
      </c>
      <c r="C244" s="47">
        <f>VLOOKUP($A244,'[4]Ave FTE cost'!$A$55:$Z$78,COLUMN('[4]Ave FTE cost'!$Z$7),FALSE)</f>
        <v>62.490601383084687</v>
      </c>
      <c r="D244" s="47">
        <f>VLOOKUP($A244,'[4]Ave FTE cost'!$A$100:$Z$122,COLUMN('[4]Ave FTE cost'!$Z$7),FALSE)</f>
        <v>61.882929550741885</v>
      </c>
      <c r="E244" s="47">
        <f>VLOOKUP($A244,'[4]Ave FTE cost'!$A$144:$Z$166,COLUMN('[4]Ave FTE cost'!$Z$7),FALSE)</f>
        <v>62.361332800135941</v>
      </c>
      <c r="F244" s="47">
        <f>VLOOKUP($A244,'[4]Ave FTE cost'!$A$186:$Z$214,COLUMN('[4]Ave FTE cost'!$Z$7),FALSE)</f>
        <v>64.335085355963713</v>
      </c>
      <c r="G244" s="47">
        <f>VLOOKUP($A244,'[4]Ave FTE cost'!$A$231:$Z$259,COLUMN('[4]Ave FTE cost'!$Z$7),FALSE)</f>
        <v>64.394718554551773</v>
      </c>
      <c r="H244" s="47">
        <f>VLOOKUP($A244,'[4]Ave FTE cost'!$A$275:$Z$303,COLUMN('[4]Ave FTE cost'!$Z$7),FALSE)</f>
        <v>65.433344698261166</v>
      </c>
      <c r="I244" s="47">
        <f>VLOOKUP($A244,'[4]Ave FTE cost'!$A$320:$Z$347,COLUMN('[4]Ave FTE cost'!$Z$7),FALSE)</f>
        <v>66.031978680879419</v>
      </c>
      <c r="J244" s="47">
        <f>VLOOKUP($A244,'[4]Ave FTE cost'!$A$364:$Z$391,COLUMN('[4]Ave FTE cost'!$Z$7),FALSE)</f>
        <v>68.346544382574521</v>
      </c>
      <c r="K244" s="47">
        <f>VLOOKUP($A244,'[4]Ave FTE cost'!$A$407:$Z$434,COLUMN('[4]Ave FTE cost'!$Z$406),FALSE)</f>
        <v>68.472298497819423</v>
      </c>
      <c r="L244" s="47">
        <f>VLOOKUP($A244,'[4]Ave FTE cost'!$A$448:$Z$477,COLUMN('[4]Ave FTE cost'!$Z$406),FALSE)</f>
        <v>69.616981132075466</v>
      </c>
      <c r="M244" s="47">
        <f>VLOOKUP($A244,'[4]Ave FTE cost'!$A$490:$Z$519,COLUMN('[4]Ave FTE cost'!$Z$406),FALSE)</f>
        <v>71.452872623185456</v>
      </c>
      <c r="O244" s="209" t="s">
        <v>228</v>
      </c>
      <c r="Q244" s="89">
        <f t="shared" si="21"/>
        <v>6.9391910947010027E-2</v>
      </c>
      <c r="R244" s="89">
        <f t="shared" si="20"/>
        <v>-9.7242116237225007E-3</v>
      </c>
      <c r="S244" s="89">
        <f t="shared" si="20"/>
        <v>7.7307789541829486E-3</v>
      </c>
      <c r="T244" s="89">
        <f t="shared" si="20"/>
        <v>3.1650262545759311E-2</v>
      </c>
      <c r="U244" s="89">
        <f t="shared" si="20"/>
        <v>9.2691566752600707E-4</v>
      </c>
      <c r="V244" s="89">
        <f t="shared" si="20"/>
        <v>1.6129057895167609E-2</v>
      </c>
      <c r="W244" s="89">
        <f t="shared" si="20"/>
        <v>9.1487602441657767E-3</v>
      </c>
      <c r="X244" s="89">
        <f t="shared" si="20"/>
        <v>3.505219361789802E-2</v>
      </c>
      <c r="Y244" s="89">
        <f t="shared" si="20"/>
        <v>1.8399484038429392E-3</v>
      </c>
      <c r="Z244" s="89">
        <f t="shared" si="20"/>
        <v>1.6717455954724514E-2</v>
      </c>
      <c r="AA244" s="56">
        <f>VLOOKUP($O244,'[4]Ave FTE cost'!$A$492:$BB$519,COLUMN('[4]Ave FTE cost'!$BB$490),FALSE)</f>
        <v>2.6275079640066146E-2</v>
      </c>
    </row>
    <row r="245" spans="1:27">
      <c r="A245" s="209" t="s">
        <v>229</v>
      </c>
      <c r="B245" s="47">
        <f>VLOOKUP($A245,'[4]Ave FTE cost'!A$9:Z$32,COLUMN('[4]Ave FTE cost'!$Z$7),FALSE)</f>
        <v>53.434446225691779</v>
      </c>
      <c r="C245" s="47">
        <f>VLOOKUP($A245,'[4]Ave FTE cost'!$A$55:$Z$78,COLUMN('[4]Ave FTE cost'!$Z$7),FALSE)</f>
        <v>55.058917153513789</v>
      </c>
      <c r="D245" s="47">
        <f>VLOOKUP($A245,'[4]Ave FTE cost'!$A$100:$Z$122,COLUMN('[4]Ave FTE cost'!$Z$7),FALSE)</f>
        <v>60.132858597278705</v>
      </c>
      <c r="E245" s="47">
        <f>VLOOKUP($A245,'[4]Ave FTE cost'!$A$144:$Z$166,COLUMN('[4]Ave FTE cost'!$Z$7),FALSE)</f>
        <v>58.211195026271255</v>
      </c>
      <c r="F245" s="47">
        <f>VLOOKUP($A245,'[4]Ave FTE cost'!$A$186:$Z$214,COLUMN('[4]Ave FTE cost'!$Z$7),FALSE)</f>
        <v>60.7565898312562</v>
      </c>
      <c r="G245" s="47">
        <f>VLOOKUP($A245,'[4]Ave FTE cost'!$A$231:$Z$259,COLUMN('[4]Ave FTE cost'!$Z$7),FALSE)</f>
        <v>60.405741544359131</v>
      </c>
      <c r="H245" s="47">
        <f>VLOOKUP($A245,'[4]Ave FTE cost'!$A$275:$Z$303,COLUMN('[4]Ave FTE cost'!$Z$7),FALSE)</f>
        <v>62.282331420731829</v>
      </c>
      <c r="I245" s="47">
        <f>VLOOKUP($A245,'[4]Ave FTE cost'!$A$320:$Z$347,COLUMN('[4]Ave FTE cost'!$Z$7),FALSE)</f>
        <v>61.56030990777063</v>
      </c>
      <c r="J245" s="47">
        <f>VLOOKUP($A245,'[4]Ave FTE cost'!$A$364:$Z$391,COLUMN('[4]Ave FTE cost'!$Z$7),FALSE)</f>
        <v>64.964694070262325</v>
      </c>
      <c r="K245" s="47">
        <f>VLOOKUP($A245,'[4]Ave FTE cost'!$A$407:$Z$434,COLUMN('[4]Ave FTE cost'!$Z$406),FALSE)</f>
        <v>65.566541348353695</v>
      </c>
      <c r="L245" s="47">
        <f>VLOOKUP($A245,'[4]Ave FTE cost'!$A$448:$Z$477,COLUMN('[4]Ave FTE cost'!$Z$406),FALSE)</f>
        <v>67.79000752235666</v>
      </c>
      <c r="M245" s="47">
        <f>VLOOKUP($A245,'[4]Ave FTE cost'!$A$490:$Z$519,COLUMN('[4]Ave FTE cost'!$Z$406),FALSE)</f>
        <v>71.627115968956844</v>
      </c>
      <c r="O245" s="209" t="s">
        <v>229</v>
      </c>
      <c r="Q245" s="89">
        <f t="shared" si="21"/>
        <v>3.0401193285707784E-2</v>
      </c>
      <c r="R245" s="89">
        <f t="shared" si="20"/>
        <v>9.2154762681181834E-2</v>
      </c>
      <c r="S245" s="89">
        <f t="shared" si="20"/>
        <v>-3.1956963560924367E-2</v>
      </c>
      <c r="T245" s="89">
        <f t="shared" si="20"/>
        <v>4.3726894866806809E-2</v>
      </c>
      <c r="U245" s="89">
        <f t="shared" si="20"/>
        <v>-5.7746540395289259E-3</v>
      </c>
      <c r="V245" s="89">
        <f t="shared" si="20"/>
        <v>3.1066415681605619E-2</v>
      </c>
      <c r="W245" s="89">
        <f t="shared" si="20"/>
        <v>-1.1592718135160607E-2</v>
      </c>
      <c r="X245" s="89">
        <f t="shared" si="20"/>
        <v>5.5301608578516293E-2</v>
      </c>
      <c r="Y245" s="89">
        <f t="shared" si="20"/>
        <v>9.2642209234519157E-3</v>
      </c>
      <c r="Z245" s="89">
        <f t="shared" si="20"/>
        <v>3.3911597718564002E-2</v>
      </c>
      <c r="AA245" s="56">
        <f>VLOOKUP($O245,'[4]Ave FTE cost'!$A$492:$BB$519,COLUMN('[4]Ave FTE cost'!$BB$490),FALSE)</f>
        <v>6.9036058145607759E-2</v>
      </c>
    </row>
    <row r="246" spans="1:27">
      <c r="A246" s="209" t="s">
        <v>230</v>
      </c>
      <c r="B246" s="47">
        <f>VLOOKUP($A246,'[4]Ave FTE cost'!A$9:Z$32,COLUMN('[4]Ave FTE cost'!$Z$7),FALSE)</f>
        <v>54.486123372806965</v>
      </c>
      <c r="C246" s="47">
        <f>VLOOKUP($A246,'[4]Ave FTE cost'!$A$55:$Z$78,COLUMN('[4]Ave FTE cost'!$Z$7),FALSE)</f>
        <v>56.306084965293515</v>
      </c>
      <c r="D246" s="47">
        <f>VLOOKUP($A246,'[4]Ave FTE cost'!$A$100:$Z$122,COLUMN('[4]Ave FTE cost'!$Z$7),FALSE)</f>
        <v>56.303646444264963</v>
      </c>
      <c r="E246" s="47">
        <f>VLOOKUP($A246,'[4]Ave FTE cost'!$A$144:$Z$166,COLUMN('[4]Ave FTE cost'!$Z$7),FALSE)</f>
        <v>57.77785070717848</v>
      </c>
      <c r="F246" s="47">
        <f>VLOOKUP($A246,'[4]Ave FTE cost'!$A$186:$Z$214,COLUMN('[4]Ave FTE cost'!$Z$7),FALSE)</f>
        <v>59.544559006781654</v>
      </c>
      <c r="G246" s="47">
        <f>VLOOKUP($A246,'[4]Ave FTE cost'!$A$231:$Z$259,COLUMN('[4]Ave FTE cost'!$Z$7),FALSE)</f>
        <v>59.785812136358409</v>
      </c>
      <c r="H246" s="47">
        <f>VLOOKUP($A246,'[4]Ave FTE cost'!$A$275:$Z$303,COLUMN('[4]Ave FTE cost'!$Z$7),FALSE)</f>
        <v>61.759134511213489</v>
      </c>
      <c r="I246" s="47">
        <f>VLOOKUP($A246,'[4]Ave FTE cost'!$A$320:$Z$347,COLUMN('[4]Ave FTE cost'!$Z$7),FALSE)</f>
        <v>62.796643667932273</v>
      </c>
      <c r="J246" s="47">
        <f>VLOOKUP($A246,'[4]Ave FTE cost'!$A$364:$Z$391,COLUMN('[4]Ave FTE cost'!$Z$7),FALSE)</f>
        <v>64.255452622187491</v>
      </c>
      <c r="K246" s="47">
        <f>VLOOKUP($A246,'[4]Ave FTE cost'!$A$407:$Z$434,COLUMN('[4]Ave FTE cost'!$Z$406),FALSE)</f>
        <v>64.721901577550284</v>
      </c>
      <c r="L246" s="47">
        <f>VLOOKUP($A246,'[4]Ave FTE cost'!$A$448:$Z$477,COLUMN('[4]Ave FTE cost'!$Z$406),FALSE)</f>
        <v>68.00318912793378</v>
      </c>
      <c r="M246" s="47">
        <f>VLOOKUP($A246,'[4]Ave FTE cost'!$A$490:$Z$519,COLUMN('[4]Ave FTE cost'!$Z$406),FALSE)</f>
        <v>70.834153850834738</v>
      </c>
      <c r="O246" s="209" t="s">
        <v>230</v>
      </c>
      <c r="Q246" s="89">
        <f t="shared" si="21"/>
        <v>3.3402295480519761E-2</v>
      </c>
      <c r="R246" s="89">
        <f t="shared" si="20"/>
        <v>-4.3308303712685792E-5</v>
      </c>
      <c r="S246" s="89">
        <f t="shared" si="20"/>
        <v>2.6183104576944727E-2</v>
      </c>
      <c r="T246" s="89">
        <f t="shared" si="20"/>
        <v>3.0577605050713164E-2</v>
      </c>
      <c r="U246" s="89">
        <f t="shared" si="20"/>
        <v>4.0516402103050186E-3</v>
      </c>
      <c r="V246" s="89">
        <f t="shared" si="20"/>
        <v>3.3006532893696594E-2</v>
      </c>
      <c r="W246" s="89">
        <f t="shared" si="20"/>
        <v>1.679928264749897E-2</v>
      </c>
      <c r="X246" s="89">
        <f t="shared" si="20"/>
        <v>2.3230683505465421E-2</v>
      </c>
      <c r="Y246" s="89">
        <f t="shared" si="20"/>
        <v>7.2592898552197305E-3</v>
      </c>
      <c r="Z246" s="89">
        <f t="shared" si="20"/>
        <v>5.0698256237911021E-2</v>
      </c>
      <c r="AA246" s="56">
        <f>VLOOKUP($O246,'[4]Ave FTE cost'!$A$492:$BB$519,COLUMN('[4]Ave FTE cost'!$BB$490),FALSE)</f>
        <v>4.6472479350404328E-2</v>
      </c>
    </row>
    <row r="247" spans="1:27">
      <c r="A247" s="209" t="s">
        <v>231</v>
      </c>
      <c r="B247" s="47">
        <f>VLOOKUP($A247,'[4]Ave FTE cost'!A$9:Z$32,COLUMN('[4]Ave FTE cost'!$Z$7),FALSE)</f>
        <v>56.448641617132353</v>
      </c>
      <c r="C247" s="47">
        <f>VLOOKUP($A247,'[4]Ave FTE cost'!$A$55:$Z$78,COLUMN('[4]Ave FTE cost'!$Z$7),FALSE)</f>
        <v>58.997918034792413</v>
      </c>
      <c r="D247" s="47">
        <f>VLOOKUP($A247,'[4]Ave FTE cost'!$A$100:$Z$122,COLUMN('[4]Ave FTE cost'!$Z$7),FALSE)</f>
        <v>61.571273610483829</v>
      </c>
      <c r="E247" s="47">
        <f>VLOOKUP($A247,'[4]Ave FTE cost'!$A$144:$Z$166,COLUMN('[4]Ave FTE cost'!$Z$7),FALSE)</f>
        <v>60.914289353180642</v>
      </c>
      <c r="F247" s="47">
        <f>VLOOKUP($A247,'[4]Ave FTE cost'!$A$186:$Z$214,COLUMN('[4]Ave FTE cost'!$Z$7),FALSE)</f>
        <v>64.160443679749335</v>
      </c>
      <c r="G247" s="47">
        <f>VLOOKUP($A247,'[4]Ave FTE cost'!$A$231:$Z$259,COLUMN('[4]Ave FTE cost'!$Z$7),FALSE)</f>
        <v>66.357236597480878</v>
      </c>
      <c r="H247" s="47">
        <f>VLOOKUP($A247,'[4]Ave FTE cost'!$A$275:$Z$303,COLUMN('[4]Ave FTE cost'!$Z$7),FALSE)</f>
        <v>67.385207079537906</v>
      </c>
      <c r="I247" s="47">
        <f>VLOOKUP($A247,'[4]Ave FTE cost'!$A$320:$Z$347,COLUMN('[4]Ave FTE cost'!$Z$7),FALSE)</f>
        <v>68.687060409658827</v>
      </c>
      <c r="J247" s="47">
        <f>VLOOKUP($A247,'[4]Ave FTE cost'!$A$364:$Z$391,COLUMN('[4]Ave FTE cost'!$Z$7),FALSE)</f>
        <v>69.866025239176295</v>
      </c>
      <c r="K247" s="47">
        <f>VLOOKUP($A247,'[4]Ave FTE cost'!$A$407:$Z$434,COLUMN('[4]Ave FTE cost'!$Z$406),FALSE)</f>
        <v>71.531818092277589</v>
      </c>
      <c r="L247" s="47">
        <f>VLOOKUP($A247,'[4]Ave FTE cost'!$A$448:$Z$477,COLUMN('[4]Ave FTE cost'!$Z$406),FALSE)</f>
        <v>73.422506022331532</v>
      </c>
      <c r="M247" s="47">
        <f>VLOOKUP($A247,'[4]Ave FTE cost'!$A$490:$Z$519,COLUMN('[4]Ave FTE cost'!$Z$406),FALSE)</f>
        <v>76.940817714522183</v>
      </c>
      <c r="O247" s="209" t="s">
        <v>231</v>
      </c>
      <c r="Q247" s="89">
        <f t="shared" si="21"/>
        <v>4.516098784007494E-2</v>
      </c>
      <c r="R247" s="89">
        <f t="shared" si="20"/>
        <v>4.3617735360997889E-2</v>
      </c>
      <c r="S247" s="89">
        <f t="shared" si="20"/>
        <v>-1.0670304815512566E-2</v>
      </c>
      <c r="T247" s="89">
        <f t="shared" si="20"/>
        <v>5.3290522815550023E-2</v>
      </c>
      <c r="U247" s="89">
        <f t="shared" si="20"/>
        <v>3.4239054341591357E-2</v>
      </c>
      <c r="V247" s="89">
        <f t="shared" si="20"/>
        <v>1.5491460084340769E-2</v>
      </c>
      <c r="W247" s="89">
        <f t="shared" si="20"/>
        <v>1.9319571557957493E-2</v>
      </c>
      <c r="X247" s="89">
        <f t="shared" si="20"/>
        <v>1.7164292990353047E-2</v>
      </c>
      <c r="Y247" s="89">
        <f t="shared" si="20"/>
        <v>2.3842673851828478E-2</v>
      </c>
      <c r="Z247" s="89">
        <f t="shared" si="20"/>
        <v>2.6431425629569683E-2</v>
      </c>
      <c r="AA247" s="56">
        <f>VLOOKUP($O247,'[4]Ave FTE cost'!$A$492:$BB$519,COLUMN('[4]Ave FTE cost'!$BB$490),FALSE)</f>
        <v>5.1843136088620234E-2</v>
      </c>
    </row>
    <row r="248" spans="1:27">
      <c r="A248" s="209" t="s">
        <v>232</v>
      </c>
      <c r="B248" s="47">
        <f>VLOOKUP($A248,'[4]Ave FTE cost'!A$9:Z$32,COLUMN('[4]Ave FTE cost'!$Z$7),FALSE)</f>
        <v>55.956591777513864</v>
      </c>
      <c r="C248" s="47">
        <f>VLOOKUP($A248,'[4]Ave FTE cost'!$A$55:$Z$78,COLUMN('[4]Ave FTE cost'!$Z$7),FALSE)</f>
        <v>57.599089507401473</v>
      </c>
      <c r="D248" s="47"/>
      <c r="E248" s="47"/>
      <c r="F248" s="47"/>
      <c r="G248" s="47"/>
      <c r="H248" s="47"/>
      <c r="I248" s="47"/>
      <c r="J248" s="47"/>
      <c r="K248" s="47"/>
      <c r="L248" s="47"/>
      <c r="M248" s="47"/>
      <c r="O248" s="209" t="s">
        <v>232</v>
      </c>
      <c r="Q248" s="89">
        <f t="shared" si="21"/>
        <v>2.9353069543946786E-2</v>
      </c>
      <c r="R248" s="89"/>
      <c r="S248" s="89"/>
      <c r="T248" s="89"/>
      <c r="U248" s="89"/>
      <c r="V248" s="89"/>
      <c r="W248" s="89"/>
      <c r="X248" s="89"/>
      <c r="Y248" s="89"/>
      <c r="Z248" s="89"/>
      <c r="AA248" s="56"/>
    </row>
    <row r="249" spans="1:27">
      <c r="A249" s="209" t="s">
        <v>233</v>
      </c>
      <c r="B249" s="47">
        <f>VLOOKUP($A249,'[4]Ave FTE cost'!A$9:Z$32,COLUMN('[4]Ave FTE cost'!$Z$7),FALSE)</f>
        <v>54.982825589310309</v>
      </c>
      <c r="C249" s="47">
        <f>VLOOKUP($A249,'[4]Ave FTE cost'!$A$55:$Z$78,COLUMN('[4]Ave FTE cost'!$Z$7),FALSE)</f>
        <v>57.453148560350407</v>
      </c>
      <c r="D249" s="47">
        <f>VLOOKUP($A249,'[4]Ave FTE cost'!$A$100:$Z$122,COLUMN('[4]Ave FTE cost'!$Z$7),FALSE)</f>
        <v>57.335370982073833</v>
      </c>
      <c r="E249" s="47">
        <f>VLOOKUP($A249,'[4]Ave FTE cost'!$A$144:$Z$166,COLUMN('[4]Ave FTE cost'!$Z$7),FALSE)</f>
        <v>60.30863789619071</v>
      </c>
      <c r="F249" s="47">
        <f>VLOOKUP($A249,'[4]Ave FTE cost'!$A$186:$Z$214,COLUMN('[4]Ave FTE cost'!$Z$7),FALSE)</f>
        <v>61.737832188713043</v>
      </c>
      <c r="G249" s="47">
        <f>VLOOKUP($A249,'[4]Ave FTE cost'!$A$231:$Z$259,COLUMN('[4]Ave FTE cost'!$Z$7),FALSE)</f>
        <v>60.799261619290199</v>
      </c>
      <c r="H249" s="47">
        <f>VLOOKUP($A249,'[4]Ave FTE cost'!$A$275:$Z$303,COLUMN('[4]Ave FTE cost'!$Z$7),FALSE)</f>
        <v>63.283882441033313</v>
      </c>
      <c r="I249" s="47">
        <f>VLOOKUP($A249,'[4]Ave FTE cost'!$A$320:$Z$347,COLUMN('[4]Ave FTE cost'!$Z$7),FALSE)</f>
        <v>64.755201203283178</v>
      </c>
      <c r="J249" s="47">
        <f>VLOOKUP($A249,'[4]Ave FTE cost'!$A$364:$Z$391,COLUMN('[4]Ave FTE cost'!$Z$7),FALSE)</f>
        <v>68.193582094992777</v>
      </c>
      <c r="K249" s="47">
        <f>VLOOKUP($A249,'[4]Ave FTE cost'!$A$407:$Z$434,COLUMN('[4]Ave FTE cost'!$Z$406),FALSE)</f>
        <v>66.384424391720174</v>
      </c>
      <c r="L249" s="47">
        <f>VLOOKUP($A249,'[4]Ave FTE cost'!$A$448:$Z$477,COLUMN('[4]Ave FTE cost'!$Z$406),FALSE)</f>
        <v>69.482188274016309</v>
      </c>
      <c r="M249" s="47">
        <f>VLOOKUP($A249,'[4]Ave FTE cost'!$A$490:$Z$519,COLUMN('[4]Ave FTE cost'!$Z$406),FALSE)</f>
        <v>72.507036035538889</v>
      </c>
      <c r="O249" s="209" t="s">
        <v>233</v>
      </c>
      <c r="Q249" s="89">
        <f t="shared" si="21"/>
        <v>4.4928992727510497E-2</v>
      </c>
      <c r="R249" s="89">
        <f t="shared" si="21"/>
        <v>-2.0499760453137617E-3</v>
      </c>
      <c r="S249" s="89">
        <f t="shared" si="21"/>
        <v>5.1857463607351217E-2</v>
      </c>
      <c r="T249" s="89">
        <f t="shared" si="21"/>
        <v>2.3698003177959448E-2</v>
      </c>
      <c r="U249" s="89">
        <f t="shared" si="21"/>
        <v>-1.5202519041386697E-2</v>
      </c>
      <c r="V249" s="89">
        <f t="shared" si="21"/>
        <v>4.0865970335317359E-2</v>
      </c>
      <c r="W249" s="89">
        <f t="shared" si="21"/>
        <v>2.3249502171754477E-2</v>
      </c>
      <c r="X249" s="89">
        <f t="shared" si="21"/>
        <v>5.30981423548611E-2</v>
      </c>
      <c r="Y249" s="89">
        <f t="shared" si="21"/>
        <v>-2.6529735609906346E-2</v>
      </c>
      <c r="Z249" s="89">
        <f t="shared" si="21"/>
        <v>4.6664016607523839E-2</v>
      </c>
      <c r="AA249" s="56">
        <f>VLOOKUP($O249,'[4]Ave FTE cost'!$A$492:$BB$519,COLUMN('[4]Ave FTE cost'!$BB$490),FALSE)</f>
        <v>4.7720626135696387E-2</v>
      </c>
    </row>
    <row r="250" spans="1:27">
      <c r="A250" s="209" t="s">
        <v>234</v>
      </c>
      <c r="B250" s="215">
        <f>'[4]Ave FTE cost'!$Z$36</f>
        <v>55.973146696151503</v>
      </c>
      <c r="C250" s="215">
        <f>'[4]Ave FTE cost'!$Z$82</f>
        <v>58.024412766122445</v>
      </c>
      <c r="D250" s="47">
        <f>VLOOKUP($A250,'[4]Ave FTE cost'!$A$100:$Z$122,COLUMN('[4]Ave FTE cost'!$Z$7),FALSE)</f>
        <v>60.013882310501089</v>
      </c>
      <c r="E250" s="47">
        <f>VLOOKUP($A250,'[4]Ave FTE cost'!$A$144:$Z$166,COLUMN('[4]Ave FTE cost'!$Z$7),FALSE)</f>
        <v>61.336124316615937</v>
      </c>
      <c r="F250" s="47">
        <f>VLOOKUP($A250,'[4]Ave FTE cost'!$A$186:$Z$214,COLUMN('[4]Ave FTE cost'!$Z$7),FALSE)</f>
        <v>63.176956867186654</v>
      </c>
      <c r="G250" s="47">
        <f>VLOOKUP($A250,'[4]Ave FTE cost'!$A$231:$Z$259,COLUMN('[4]Ave FTE cost'!$Z$7),FALSE)</f>
        <v>62.954531608987324</v>
      </c>
      <c r="H250" s="47">
        <f>VLOOKUP($A250,'[4]Ave FTE cost'!$A$275:$Z$303,COLUMN('[4]Ave FTE cost'!$Z$7),FALSE)</f>
        <v>65.643201170902529</v>
      </c>
      <c r="I250" s="47">
        <f>VLOOKUP($A250,'[4]Ave FTE cost'!$A$320:$Z$347,COLUMN('[4]Ave FTE cost'!$Z$7),FALSE)</f>
        <v>66.611160289717546</v>
      </c>
      <c r="J250" s="47">
        <f>VLOOKUP($A250,'[4]Ave FTE cost'!$A$364:$Z$391,COLUMN('[4]Ave FTE cost'!$Z$7),FALSE)</f>
        <v>70.745228432502358</v>
      </c>
      <c r="K250" s="47">
        <f>VLOOKUP($A250,'[4]Ave FTE cost'!$A$407:$Z$434,COLUMN('[4]Ave FTE cost'!$Z$406),FALSE)</f>
        <v>70.517376271315456</v>
      </c>
      <c r="L250" s="47">
        <f>VLOOKUP($A250,'[4]Ave FTE cost'!$A$448:$Z$477,COLUMN('[4]Ave FTE cost'!$Z$406),FALSE)</f>
        <v>70.248248329747298</v>
      </c>
      <c r="M250" s="47">
        <f>VLOOKUP($A250,'[4]Ave FTE cost'!$A$490:$Z$519,COLUMN('[4]Ave FTE cost'!$Z$406),FALSE)</f>
        <v>74.694641758094917</v>
      </c>
      <c r="O250" s="209" t="s">
        <v>234</v>
      </c>
      <c r="Q250" s="216">
        <f t="shared" si="21"/>
        <v>3.6647324494836431E-2</v>
      </c>
      <c r="R250" s="216">
        <f t="shared" si="21"/>
        <v>3.4286767405945939E-2</v>
      </c>
      <c r="S250" s="89">
        <f t="shared" si="21"/>
        <v>2.2032269121897485E-2</v>
      </c>
      <c r="T250" s="89">
        <f t="shared" si="21"/>
        <v>3.0012208483672254E-2</v>
      </c>
      <c r="U250" s="89">
        <f t="shared" si="21"/>
        <v>-3.5206706563426504E-3</v>
      </c>
      <c r="V250" s="89">
        <f t="shared" si="21"/>
        <v>4.2708117957490632E-2</v>
      </c>
      <c r="W250" s="89">
        <f t="shared" si="21"/>
        <v>1.4745763484247609E-2</v>
      </c>
      <c r="X250" s="89">
        <f t="shared" si="21"/>
        <v>6.2062695272145918E-2</v>
      </c>
      <c r="Y250" s="89">
        <f t="shared" si="21"/>
        <v>-3.2207424618649894E-3</v>
      </c>
      <c r="Z250" s="89">
        <f t="shared" si="21"/>
        <v>-3.8164769564410506E-3</v>
      </c>
      <c r="AA250" s="56">
        <f>VLOOKUP($O250,'[4]Ave FTE cost'!$A$492:$BB$519,COLUMN('[4]Ave FTE cost'!$BB$490),FALSE)</f>
        <v>5.993346889022666E-2</v>
      </c>
    </row>
    <row r="251" spans="1:27">
      <c r="A251" s="209" t="s">
        <v>235</v>
      </c>
      <c r="B251" s="47">
        <f>VLOOKUP($A251,'[4]Ave FTE cost'!A$9:Z$32,COLUMN('[4]Ave FTE cost'!$Z$7),FALSE)</f>
        <v>56.016394843314146</v>
      </c>
      <c r="C251" s="47">
        <f>VLOOKUP($A251,'[4]Ave FTE cost'!$A$55:$Z$78,COLUMN('[4]Ave FTE cost'!$Z$7),FALSE)</f>
        <v>59.096022383891977</v>
      </c>
      <c r="D251" s="47"/>
      <c r="E251" s="47"/>
      <c r="F251" s="47"/>
      <c r="G251" s="47"/>
      <c r="H251" s="47"/>
      <c r="I251" s="47"/>
      <c r="J251" s="47"/>
      <c r="K251" s="47"/>
      <c r="L251" s="47"/>
      <c r="M251" s="47"/>
      <c r="O251" s="209" t="s">
        <v>235</v>
      </c>
      <c r="Q251" s="89">
        <f t="shared" si="21"/>
        <v>5.4977253520009484E-2</v>
      </c>
      <c r="R251" s="89"/>
      <c r="S251" s="89"/>
      <c r="T251" s="89"/>
      <c r="U251" s="89"/>
      <c r="V251" s="89"/>
      <c r="W251" s="89"/>
      <c r="X251" s="89"/>
      <c r="Y251" s="89"/>
      <c r="Z251" s="89"/>
      <c r="AA251" s="56"/>
    </row>
    <row r="252" spans="1:27">
      <c r="A252" s="209" t="s">
        <v>236</v>
      </c>
      <c r="B252" s="47">
        <f>VLOOKUP($A252,'[4]Ave FTE cost'!A$9:Z$32,COLUMN('[4]Ave FTE cost'!$Z$7),FALSE)</f>
        <v>53.568525526472548</v>
      </c>
      <c r="C252" s="47">
        <f>VLOOKUP($A252,'[4]Ave FTE cost'!$A$55:$Z$78,COLUMN('[4]Ave FTE cost'!$Z$7),FALSE)</f>
        <v>57.164102480497043</v>
      </c>
      <c r="D252" s="47">
        <f>VLOOKUP($A252,'[4]Ave FTE cost'!$A$100:$Z$122,COLUMN('[4]Ave FTE cost'!$Z$7),FALSE)</f>
        <v>59.750078577640807</v>
      </c>
      <c r="E252" s="47">
        <f>VLOOKUP($A252,'[4]Ave FTE cost'!$A$144:$Z$166,COLUMN('[4]Ave FTE cost'!$Z$7),FALSE)</f>
        <v>62.389462638351681</v>
      </c>
      <c r="F252" s="47">
        <f>VLOOKUP($A252,'[4]Ave FTE cost'!$A$186:$Z$214,COLUMN('[4]Ave FTE cost'!$Z$7),FALSE)</f>
        <v>65.381045568912484</v>
      </c>
      <c r="G252" s="47">
        <f>VLOOKUP($A252,'[4]Ave FTE cost'!$A$231:$Z$259,COLUMN('[4]Ave FTE cost'!$Z$7),FALSE)</f>
        <v>62.516962843295637</v>
      </c>
      <c r="H252" s="47">
        <f>VLOOKUP($A252,'[4]Ave FTE cost'!$A$275:$Z$303,COLUMN('[4]Ave FTE cost'!$Z$7),FALSE)</f>
        <v>66.84367106371036</v>
      </c>
      <c r="I252" s="47">
        <f>VLOOKUP($A252,'[4]Ave FTE cost'!$A$320:$Z$347,COLUMN('[4]Ave FTE cost'!$Z$7),FALSE)</f>
        <v>66.425728836934937</v>
      </c>
      <c r="J252" s="47">
        <f>VLOOKUP($A252,'[4]Ave FTE cost'!$A$364:$Z$391,COLUMN('[4]Ave FTE cost'!$Z$7),FALSE)</f>
        <v>66.001982107782553</v>
      </c>
      <c r="K252" s="47">
        <f>VLOOKUP($A252,'[4]Ave FTE cost'!$A$407:$Z$434,COLUMN('[4]Ave FTE cost'!$Z$406),FALSE)</f>
        <v>68.470781893004116</v>
      </c>
      <c r="L252" s="47">
        <f>VLOOKUP($A252,'[4]Ave FTE cost'!$A$448:$Z$477,COLUMN('[4]Ave FTE cost'!$Z$406),FALSE)</f>
        <v>68.489425981873111</v>
      </c>
      <c r="M252" s="47">
        <f>VLOOKUP($A252,'[4]Ave FTE cost'!$A$490:$Z$519,COLUMN('[4]Ave FTE cost'!$Z$406),FALSE)</f>
        <v>69.386213408876287</v>
      </c>
      <c r="O252" s="209" t="s">
        <v>236</v>
      </c>
      <c r="Q252" s="89">
        <f t="shared" si="21"/>
        <v>6.7121073777691054E-2</v>
      </c>
      <c r="R252" s="89">
        <f t="shared" si="21"/>
        <v>4.5237762598057563E-2</v>
      </c>
      <c r="S252" s="89">
        <f t="shared" si="21"/>
        <v>4.4173733717876029E-2</v>
      </c>
      <c r="T252" s="89">
        <f t="shared" si="21"/>
        <v>4.7950131385197103E-2</v>
      </c>
      <c r="U252" s="89">
        <f t="shared" si="21"/>
        <v>-4.3806009841156013E-2</v>
      </c>
      <c r="V252" s="89">
        <f t="shared" si="21"/>
        <v>6.9208547946578935E-2</v>
      </c>
      <c r="W252" s="89">
        <f t="shared" si="21"/>
        <v>-6.2525325154130229E-3</v>
      </c>
      <c r="X252" s="89">
        <f t="shared" si="21"/>
        <v>-6.3792559987202457E-3</v>
      </c>
      <c r="Y252" s="89">
        <f t="shared" si="21"/>
        <v>3.7404934009253932E-2</v>
      </c>
      <c r="Z252" s="89">
        <f t="shared" si="21"/>
        <v>2.7229262400019216E-4</v>
      </c>
      <c r="AA252" s="56">
        <f>VLOOKUP($O252,'[4]Ave FTE cost'!$A$492:$BB$519,COLUMN('[4]Ave FTE cost'!$BB$490),FALSE)</f>
        <v>3.6552438603527637E-2</v>
      </c>
    </row>
    <row r="253" spans="1:27">
      <c r="A253" s="209" t="s">
        <v>237</v>
      </c>
      <c r="B253" s="47">
        <f>VLOOKUP($A253,'[4]Ave FTE cost'!A$9:Z$32,COLUMN('[4]Ave FTE cost'!$Z$7),FALSE)</f>
        <v>53.69306429173146</v>
      </c>
      <c r="C253" s="47">
        <f>VLOOKUP($A253,'[4]Ave FTE cost'!$A$55:$Z$78,COLUMN('[4]Ave FTE cost'!$Z$7),FALSE)</f>
        <v>56.153922700884138</v>
      </c>
      <c r="D253" s="47">
        <f>VLOOKUP($A253,'[4]Ave FTE cost'!$A$100:$Z$122,COLUMN('[4]Ave FTE cost'!$Z$7),FALSE)</f>
        <v>62.327433997890019</v>
      </c>
      <c r="E253" s="47">
        <f>VLOOKUP($A253,'[4]Ave FTE cost'!$A$144:$Z$166,COLUMN('[4]Ave FTE cost'!$Z$7),FALSE)</f>
        <v>60.603336248396033</v>
      </c>
      <c r="F253" s="47">
        <f>VLOOKUP($A253,'[4]Ave FTE cost'!$A$186:$Z$214,COLUMN('[4]Ave FTE cost'!$Z$7),FALSE)</f>
        <v>62.71816992304452</v>
      </c>
      <c r="G253" s="47">
        <f>VLOOKUP($A253,'[4]Ave FTE cost'!$A$231:$Z$259,COLUMN('[4]Ave FTE cost'!$Z$7),FALSE)</f>
        <v>64.124654023577648</v>
      </c>
      <c r="H253" s="47">
        <f>VLOOKUP($A253,'[4]Ave FTE cost'!$A$275:$Z$303,COLUMN('[4]Ave FTE cost'!$Z$7),FALSE)</f>
        <v>63.448990504899939</v>
      </c>
      <c r="I253" s="47">
        <f>VLOOKUP($A253,'[4]Ave FTE cost'!$A$320:$Z$347,COLUMN('[4]Ave FTE cost'!$Z$7),FALSE)</f>
        <v>64.687554622105196</v>
      </c>
      <c r="J253" s="47">
        <f>VLOOKUP($A253,'[4]Ave FTE cost'!$A$364:$Z$391,COLUMN('[4]Ave FTE cost'!$Z$7),FALSE)</f>
        <v>69.283026352762278</v>
      </c>
      <c r="K253" s="47">
        <f>VLOOKUP($A253,'[4]Ave FTE cost'!$A$407:$Z$434,COLUMN('[4]Ave FTE cost'!$Z$406),FALSE)</f>
        <v>69.085594555574289</v>
      </c>
      <c r="L253" s="47">
        <f>VLOOKUP($A253,'[4]Ave FTE cost'!$A$448:$Z$477,COLUMN('[4]Ave FTE cost'!$Z$406),FALSE)</f>
        <v>71.306170437343411</v>
      </c>
      <c r="M253" s="47">
        <f>VLOOKUP($A253,'[4]Ave FTE cost'!$A$490:$Z$519,COLUMN('[4]Ave FTE cost'!$Z$406),FALSE)</f>
        <v>73.566284430549615</v>
      </c>
      <c r="O253" s="209" t="s">
        <v>237</v>
      </c>
      <c r="Q253" s="89">
        <f t="shared" si="21"/>
        <v>4.5831960638008207E-2</v>
      </c>
      <c r="R253" s="89">
        <f t="shared" si="21"/>
        <v>0.10993909241016708</v>
      </c>
      <c r="S253" s="89">
        <f t="shared" si="21"/>
        <v>-2.7661940158684395E-2</v>
      </c>
      <c r="T253" s="89">
        <f t="shared" si="21"/>
        <v>3.4896324287830849E-2</v>
      </c>
      <c r="U253" s="89">
        <f t="shared" si="21"/>
        <v>2.2425464618289981E-2</v>
      </c>
      <c r="V253" s="89">
        <f t="shared" si="21"/>
        <v>-1.0536719908528114E-2</v>
      </c>
      <c r="W253" s="89">
        <f t="shared" si="21"/>
        <v>1.9520627630940979E-2</v>
      </c>
      <c r="X253" s="89">
        <f t="shared" si="21"/>
        <v>7.1041048892683145E-2</v>
      </c>
      <c r="Y253" s="89">
        <f t="shared" si="21"/>
        <v>-2.8496416450219941E-3</v>
      </c>
      <c r="Z253" s="89">
        <f t="shared" si="21"/>
        <v>3.2142386499733E-2</v>
      </c>
      <c r="AA253" s="56">
        <f>VLOOKUP($O253,'[4]Ave FTE cost'!$A$492:$BB$519,COLUMN('[4]Ave FTE cost'!$BB$490),FALSE)</f>
        <v>4.5523115162533045E-2</v>
      </c>
    </row>
    <row r="254" spans="1:27">
      <c r="A254" s="209" t="s">
        <v>238</v>
      </c>
      <c r="B254" s="47">
        <f>VLOOKUP($A254,'[4]Ave FTE cost'!A$9:Z$32,COLUMN('[4]Ave FTE cost'!$Z$7),FALSE)</f>
        <v>54.906661290106477</v>
      </c>
      <c r="C254" s="47">
        <f>VLOOKUP($A254,'[4]Ave FTE cost'!$A$55:$Z$78,COLUMN('[4]Ave FTE cost'!$Z$7),FALSE)</f>
        <v>56.751877792097886</v>
      </c>
      <c r="D254" s="47">
        <f>VLOOKUP($A254,'[4]Ave FTE cost'!$A$100:$Z$122,COLUMN('[4]Ave FTE cost'!$Z$7),FALSE)</f>
        <v>58.823698852474962</v>
      </c>
      <c r="E254" s="47">
        <f>VLOOKUP($A254,'[4]Ave FTE cost'!$A$144:$Z$166,COLUMN('[4]Ave FTE cost'!$Z$7),FALSE)</f>
        <v>59.046330322365485</v>
      </c>
      <c r="F254" s="47">
        <f>VLOOKUP($A254,'[4]Ave FTE cost'!$A$186:$Z$214,COLUMN('[4]Ave FTE cost'!$Z$7),FALSE)</f>
        <v>61.698124075397772</v>
      </c>
      <c r="G254" s="47">
        <f>VLOOKUP($A254,'[4]Ave FTE cost'!$A$231:$Z$259,COLUMN('[4]Ave FTE cost'!$Z$7),FALSE)</f>
        <v>62.21813546664837</v>
      </c>
      <c r="H254" s="47">
        <f>VLOOKUP($A254,'[4]Ave FTE cost'!$A$275:$Z$303,COLUMN('[4]Ave FTE cost'!$Z$7),FALSE)</f>
        <v>63.674072783926242</v>
      </c>
      <c r="I254" s="47">
        <f>VLOOKUP($A254,'[4]Ave FTE cost'!$A$320:$Z$347,COLUMN('[4]Ave FTE cost'!$Z$7),FALSE)</f>
        <v>64.343747030672091</v>
      </c>
      <c r="J254" s="47">
        <f>VLOOKUP($A254,'[4]Ave FTE cost'!$A$364:$Z$391,COLUMN('[4]Ave FTE cost'!$Z$7),FALSE)</f>
        <v>65.859946375000689</v>
      </c>
      <c r="K254" s="47">
        <f>VLOOKUP($A254,'[4]Ave FTE cost'!$A$407:$Z$434,COLUMN('[4]Ave FTE cost'!$Z$406),FALSE)</f>
        <v>66.83355268179632</v>
      </c>
      <c r="L254" s="47">
        <f>VLOOKUP($A254,'[4]Ave FTE cost'!$A$448:$Z$477,COLUMN('[4]Ave FTE cost'!$Z$406),FALSE)</f>
        <v>68.863813619846283</v>
      </c>
      <c r="M254" s="47">
        <f>VLOOKUP($A254,'[4]Ave FTE cost'!$A$490:$Z$519,COLUMN('[4]Ave FTE cost'!$Z$406),FALSE)</f>
        <v>72.970134905592516</v>
      </c>
      <c r="O254" s="209" t="s">
        <v>238</v>
      </c>
      <c r="Q254" s="89">
        <f t="shared" si="21"/>
        <v>3.3606423312500633E-2</v>
      </c>
      <c r="R254" s="89">
        <f t="shared" si="21"/>
        <v>3.6506652131703676E-2</v>
      </c>
      <c r="S254" s="89">
        <f t="shared" si="21"/>
        <v>3.784724086271174E-3</v>
      </c>
      <c r="T254" s="89">
        <f t="shared" si="21"/>
        <v>4.4910390511226028E-2</v>
      </c>
      <c r="U254" s="89">
        <f t="shared" si="21"/>
        <v>8.4283177007962173E-3</v>
      </c>
      <c r="V254" s="89">
        <f t="shared" si="21"/>
        <v>2.3400529545896109E-2</v>
      </c>
      <c r="W254" s="89">
        <f t="shared" si="21"/>
        <v>1.0517220235280789E-2</v>
      </c>
      <c r="X254" s="89">
        <f t="shared" si="21"/>
        <v>2.3564051120706919E-2</v>
      </c>
      <c r="Y254" s="89">
        <f t="shared" si="21"/>
        <v>1.4782980557743075E-2</v>
      </c>
      <c r="Z254" s="89">
        <f t="shared" si="21"/>
        <v>3.0377869447047345E-2</v>
      </c>
      <c r="AA254" s="56">
        <f>VLOOKUP($O254,'[4]Ave FTE cost'!$A$492:$BB$519,COLUMN('[4]Ave FTE cost'!$BB$490),FALSE)</f>
        <v>6.6460093708898826E-2</v>
      </c>
    </row>
    <row r="255" spans="1:27">
      <c r="A255" s="209" t="s">
        <v>239</v>
      </c>
      <c r="B255" s="47">
        <f>VLOOKUP($A255,'[4]Ave FTE cost'!A$9:Z$32,COLUMN('[4]Ave FTE cost'!$Z$7),FALSE)</f>
        <v>56.863003997167176</v>
      </c>
      <c r="C255" s="47">
        <f>VLOOKUP($A255,'[4]Ave FTE cost'!$A$55:$Z$78,COLUMN('[4]Ave FTE cost'!$Z$7),FALSE)</f>
        <v>61.34273663831847</v>
      </c>
      <c r="D255" s="47">
        <f>VLOOKUP($A255,'[4]Ave FTE cost'!$A$100:$Z$122,COLUMN('[4]Ave FTE cost'!$Z$7),FALSE)</f>
        <v>63.849542902231534</v>
      </c>
      <c r="E255" s="47">
        <f>VLOOKUP($A255,'[4]Ave FTE cost'!$A$144:$Z$166,COLUMN('[4]Ave FTE cost'!$Z$7),FALSE)</f>
        <v>64.067810992886066</v>
      </c>
      <c r="F255" s="47">
        <f>VLOOKUP($A255,'[4]Ave FTE cost'!$A$186:$Z$214,COLUMN('[4]Ave FTE cost'!$Z$7),FALSE)</f>
        <v>60.029182879377423</v>
      </c>
      <c r="G255" s="47">
        <f>VLOOKUP($A255,'[4]Ave FTE cost'!$A$231:$Z$259,COLUMN('[4]Ave FTE cost'!$Z$7),FALSE)</f>
        <v>63.416904557857748</v>
      </c>
      <c r="H255" s="47">
        <f>VLOOKUP($A255,'[4]Ave FTE cost'!$A$275:$Z$303,COLUMN('[4]Ave FTE cost'!$Z$7),FALSE)</f>
        <v>60.411239607131911</v>
      </c>
      <c r="I255" s="47">
        <f>VLOOKUP($A255,'[4]Ave FTE cost'!$A$320:$Z$347,COLUMN('[4]Ave FTE cost'!$Z$7),FALSE)</f>
        <v>60.246910791334415</v>
      </c>
      <c r="J255" s="47">
        <f>VLOOKUP($A255,'[4]Ave FTE cost'!$A$364:$Z$391,COLUMN('[4]Ave FTE cost'!$Z$7),FALSE)</f>
        <v>67.685809102986809</v>
      </c>
      <c r="K255" s="47">
        <f>VLOOKUP($A255,'[4]Ave FTE cost'!$A$407:$Z$434,COLUMN('[4]Ave FTE cost'!$Z$406),FALSE)</f>
        <v>68.068293171664294</v>
      </c>
      <c r="L255" s="47">
        <f>VLOOKUP($A255,'[4]Ave FTE cost'!$A$448:$Z$477,COLUMN('[4]Ave FTE cost'!$Z$406),FALSE)</f>
        <v>68.325894455317169</v>
      </c>
      <c r="M255" s="47">
        <f>VLOOKUP($A255,'[4]Ave FTE cost'!$A$490:$Z$519,COLUMN('[4]Ave FTE cost'!$Z$406),FALSE)</f>
        <v>75.851044776453122</v>
      </c>
      <c r="O255" s="209" t="s">
        <v>239</v>
      </c>
      <c r="Q255" s="89">
        <f t="shared" si="21"/>
        <v>7.8781146373738231E-2</v>
      </c>
      <c r="R255" s="89">
        <f t="shared" si="21"/>
        <v>4.0865575963677347E-2</v>
      </c>
      <c r="S255" s="89">
        <f t="shared" si="21"/>
        <v>3.4184753834298753E-3</v>
      </c>
      <c r="T255" s="89">
        <f t="shared" si="21"/>
        <v>-6.3036773863821893E-2</v>
      </c>
      <c r="U255" s="89">
        <f t="shared" si="21"/>
        <v>5.6434579249356354E-2</v>
      </c>
      <c r="V255" s="89">
        <f t="shared" si="21"/>
        <v>-4.7395327344992855E-2</v>
      </c>
      <c r="W255" s="89">
        <f t="shared" si="21"/>
        <v>-2.7201695721883468E-3</v>
      </c>
      <c r="X255" s="89">
        <f t="shared" si="21"/>
        <v>0.12347352277392387</v>
      </c>
      <c r="Y255" s="89">
        <f t="shared" si="21"/>
        <v>5.650875327434024E-3</v>
      </c>
      <c r="Z255" s="89">
        <f t="shared" si="21"/>
        <v>3.7844534018682818E-3</v>
      </c>
      <c r="AA255" s="56">
        <f>VLOOKUP($O255,'[4]Ave FTE cost'!$A$492:$BB$519,COLUMN('[4]Ave FTE cost'!$BB$490),FALSE)</f>
        <v>0.12131692052697418</v>
      </c>
    </row>
    <row r="256" spans="1:27">
      <c r="A256" s="209" t="s">
        <v>240</v>
      </c>
      <c r="B256" s="47">
        <f>VLOOKUP($A256,'[4]Ave FTE cost'!A$9:Z$32,COLUMN('[4]Ave FTE cost'!$Z$7),FALSE)</f>
        <v>61.832666577132223</v>
      </c>
      <c r="C256" s="47">
        <f>VLOOKUP($A256,'[4]Ave FTE cost'!$A$55:$Z$78,COLUMN('[4]Ave FTE cost'!$Z$7),FALSE)</f>
        <v>63.535035560219193</v>
      </c>
      <c r="D256" s="47">
        <f>VLOOKUP($A256,'[4]Ave FTE cost'!$A$100:$Z$122,COLUMN('[4]Ave FTE cost'!$Z$7),FALSE)</f>
        <v>66.338404719531141</v>
      </c>
      <c r="E256" s="47">
        <f>VLOOKUP($A256,'[4]Ave FTE cost'!$A$144:$Z$166,COLUMN('[4]Ave FTE cost'!$Z$7),FALSE)</f>
        <v>67.322184819247767</v>
      </c>
      <c r="F256" s="47">
        <f>VLOOKUP($A256,'[4]Ave FTE cost'!$A$186:$Z$214,COLUMN('[4]Ave FTE cost'!$Z$7),FALSE)</f>
        <v>66.809317232920492</v>
      </c>
      <c r="G256" s="47">
        <f>VLOOKUP($A256,'[4]Ave FTE cost'!$A$231:$Z$259,COLUMN('[4]Ave FTE cost'!$Z$7),FALSE)</f>
        <v>66.23579404815105</v>
      </c>
      <c r="H256" s="47">
        <f>VLOOKUP($A256,'[4]Ave FTE cost'!$A$275:$Z$303,COLUMN('[4]Ave FTE cost'!$Z$7),FALSE)</f>
        <v>68.360528647371538</v>
      </c>
      <c r="I256" s="47">
        <f>VLOOKUP($A256,'[4]Ave FTE cost'!$A$320:$Z$347,COLUMN('[4]Ave FTE cost'!$Z$7),FALSE)</f>
        <v>70.319379123013022</v>
      </c>
      <c r="J256" s="47">
        <f>VLOOKUP($A256,'[4]Ave FTE cost'!$A$364:$Z$391,COLUMN('[4]Ave FTE cost'!$Z$7),FALSE)</f>
        <v>70.517238959138311</v>
      </c>
      <c r="K256" s="47">
        <f>VLOOKUP($A256,'[4]Ave FTE cost'!$A$407:$Z$434,COLUMN('[4]Ave FTE cost'!$Z$406),FALSE)</f>
        <v>70.833474043805694</v>
      </c>
      <c r="L256" s="47">
        <f>VLOOKUP($A256,'[4]Ave FTE cost'!$A$448:$Z$477,COLUMN('[4]Ave FTE cost'!$Z$406),FALSE)</f>
        <v>74.083580315418246</v>
      </c>
      <c r="M256" s="47">
        <f>VLOOKUP($A256,'[4]Ave FTE cost'!$A$490:$Z$519,COLUMN('[4]Ave FTE cost'!$Z$406),FALSE)</f>
        <v>76.777386883960872</v>
      </c>
      <c r="O256" s="209" t="s">
        <v>240</v>
      </c>
      <c r="Q256" s="89">
        <f t="shared" si="21"/>
        <v>2.7531870729905705E-2</v>
      </c>
      <c r="R256" s="89">
        <f t="shared" si="21"/>
        <v>4.4123201232096454E-2</v>
      </c>
      <c r="S256" s="89">
        <f t="shared" si="21"/>
        <v>1.4829721997022594E-2</v>
      </c>
      <c r="T256" s="89">
        <f t="shared" si="21"/>
        <v>-7.6181066865887992E-3</v>
      </c>
      <c r="U256" s="89">
        <f t="shared" si="21"/>
        <v>-8.5844790595590581E-3</v>
      </c>
      <c r="V256" s="89">
        <f t="shared" si="21"/>
        <v>3.2078344190693775E-2</v>
      </c>
      <c r="W256" s="89">
        <f t="shared" si="21"/>
        <v>2.86547005179838E-2</v>
      </c>
      <c r="X256" s="89">
        <f t="shared" si="21"/>
        <v>2.8137312728424568E-3</v>
      </c>
      <c r="Y256" s="89">
        <f t="shared" si="21"/>
        <v>4.4845074670412099E-3</v>
      </c>
      <c r="Z256" s="89">
        <f t="shared" si="21"/>
        <v>4.5883762098165359E-2</v>
      </c>
      <c r="AA256" s="56">
        <f>VLOOKUP($O256,'[4]Ave FTE cost'!$A$492:$BB$519,COLUMN('[4]Ave FTE cost'!$BB$490),FALSE)</f>
        <v>5.1018334708992308E-2</v>
      </c>
    </row>
    <row r="257" spans="1:27">
      <c r="A257" s="209" t="s">
        <v>241</v>
      </c>
      <c r="B257" s="47">
        <f>VLOOKUP($A257,'[4]Ave FTE cost'!A$9:Z$32,COLUMN('[4]Ave FTE cost'!$Z$7),FALSE)</f>
        <v>55.454700908177792</v>
      </c>
      <c r="C257" s="47">
        <f>VLOOKUP($A257,'[4]Ave FTE cost'!$A$55:$Z$78,COLUMN('[4]Ave FTE cost'!$Z$7),FALSE)</f>
        <v>57.501988521054045</v>
      </c>
      <c r="D257" s="47">
        <f>VLOOKUP($A257,'[4]Ave FTE cost'!$A$100:$Z$122,COLUMN('[4]Ave FTE cost'!$Z$7),FALSE)</f>
        <v>54.587440444073522</v>
      </c>
      <c r="E257" s="47">
        <f>VLOOKUP($A257,'[4]Ave FTE cost'!$A$144:$Z$166,COLUMN('[4]Ave FTE cost'!$Z$7),FALSE)</f>
        <v>54.647928924210078</v>
      </c>
      <c r="F257" s="47">
        <f>VLOOKUP($A257,'[4]Ave FTE cost'!$A$186:$Z$214,COLUMN('[4]Ave FTE cost'!$Z$7),FALSE)</f>
        <v>59.868318171768742</v>
      </c>
      <c r="G257" s="47">
        <f>VLOOKUP($A257,'[4]Ave FTE cost'!$A$231:$Z$259,COLUMN('[4]Ave FTE cost'!$Z$7),FALSE)</f>
        <v>58.76283491741912</v>
      </c>
      <c r="H257" s="47">
        <f>VLOOKUP($A257,'[4]Ave FTE cost'!$A$275:$Z$303,COLUMN('[4]Ave FTE cost'!$Z$7),FALSE)</f>
        <v>59.088546937480523</v>
      </c>
      <c r="I257" s="47">
        <f>VLOOKUP($A257,'[4]Ave FTE cost'!$A$320:$Z$347,COLUMN('[4]Ave FTE cost'!$Z$7),FALSE)</f>
        <v>61.584435972191081</v>
      </c>
      <c r="J257" s="47">
        <f>VLOOKUP($A257,'[4]Ave FTE cost'!$A$364:$Z$391,COLUMN('[4]Ave FTE cost'!$Z$7),FALSE)</f>
        <v>58.209733803595483</v>
      </c>
      <c r="K257" s="47">
        <f>VLOOKUP($A257,'[4]Ave FTE cost'!$A$407:$Z$434,COLUMN('[4]Ave FTE cost'!$Z$406),FALSE)</f>
        <v>58.171191155764795</v>
      </c>
      <c r="L257" s="47">
        <f>VLOOKUP($A257,'[4]Ave FTE cost'!$A$448:$Z$477,COLUMN('[4]Ave FTE cost'!$Z$406),FALSE)</f>
        <v>62.571932487691377</v>
      </c>
      <c r="M257" s="47">
        <f>VLOOKUP($A257,'[4]Ave FTE cost'!$A$490:$Z$519,COLUMN('[4]Ave FTE cost'!$Z$406),FALSE)</f>
        <v>64.694321731411947</v>
      </c>
      <c r="O257" s="209" t="s">
        <v>241</v>
      </c>
      <c r="Q257" s="89">
        <f t="shared" si="21"/>
        <v>3.6918197724412183E-2</v>
      </c>
      <c r="R257" s="89">
        <f t="shared" si="21"/>
        <v>-5.0686039769100799E-2</v>
      </c>
      <c r="S257" s="89">
        <f t="shared" si="21"/>
        <v>1.1081025167047898E-3</v>
      </c>
      <c r="T257" s="89">
        <f t="shared" si="21"/>
        <v>9.552766866606599E-2</v>
      </c>
      <c r="U257" s="89">
        <f t="shared" si="21"/>
        <v>-1.8465246529522861E-2</v>
      </c>
      <c r="V257" s="89">
        <f t="shared" si="21"/>
        <v>5.5428234617873606E-3</v>
      </c>
      <c r="W257" s="89">
        <f t="shared" si="21"/>
        <v>4.223981065825444E-2</v>
      </c>
      <c r="X257" s="89">
        <f t="shared" si="21"/>
        <v>-5.4797971521886923E-2</v>
      </c>
      <c r="Y257" s="89">
        <f t="shared" si="21"/>
        <v>-6.6213406783022233E-4</v>
      </c>
      <c r="Z257" s="89">
        <f t="shared" si="21"/>
        <v>7.5651559551922043E-2</v>
      </c>
      <c r="AA257" s="56">
        <f>VLOOKUP($O257,'[4]Ave FTE cost'!$A$492:$BB$519,COLUMN('[4]Ave FTE cost'!$BB$490),FALSE)</f>
        <v>3.0554408996400939E-2</v>
      </c>
    </row>
    <row r="258" spans="1:27">
      <c r="A258" s="210" t="s">
        <v>242</v>
      </c>
      <c r="B258" s="217">
        <f>VLOOKUP($A258,'[4]Ave FTE cost'!A$9:Z$32,COLUMN('[4]Ave FTE cost'!$Z$7),FALSE)</f>
        <v>55.903931038412168</v>
      </c>
      <c r="C258" s="217">
        <f>VLOOKUP($A258,'[4]Ave FTE cost'!$A$55:$Z$78,COLUMN('[4]Ave FTE cost'!$Z$7),FALSE)</f>
        <v>57.409242999528864</v>
      </c>
      <c r="D258" s="217">
        <f>VLOOKUP($A258,'[4]Ave FTE cost'!$A$100:$Z$122,COLUMN('[4]Ave FTE cost'!$Z$7),FALSE)</f>
        <v>59.412605451931817</v>
      </c>
      <c r="E258" s="217">
        <f>VLOOKUP($A258,'[4]Ave FTE cost'!$A$144:$Z$166,COLUMN('[4]Ave FTE cost'!$Z$7),FALSE)</f>
        <v>61.153335272550123</v>
      </c>
      <c r="F258" s="217">
        <f>VLOOKUP($A258,'[4]Ave FTE cost'!$A$186:$Z$214,COLUMN('[4]Ave FTE cost'!$Z$7),FALSE)</f>
        <v>62.442633698604489</v>
      </c>
      <c r="G258" s="217">
        <f>VLOOKUP($A258,'[4]Ave FTE cost'!$A$231:$Z$259,COLUMN('[4]Ave FTE cost'!$Z$7),FALSE)</f>
        <v>63.378274084111176</v>
      </c>
      <c r="H258" s="217">
        <f>VLOOKUP($A258,'[4]Ave FTE cost'!$A$275:$Z$303,COLUMN('[4]Ave FTE cost'!$Z$7),FALSE)</f>
        <v>64.257120611657854</v>
      </c>
      <c r="I258" s="217">
        <f>VLOOKUP($A258,'[4]Ave FTE cost'!$A$320:$Z$347,COLUMN('[4]Ave FTE cost'!$Z$7),FALSE)</f>
        <v>64.680859945082318</v>
      </c>
      <c r="J258" s="217">
        <f>VLOOKUP($A258,'[4]Ave FTE cost'!$A$364:$Z$391,COLUMN('[4]Ave FTE cost'!$Z$7),FALSE)</f>
        <v>67.103517557593804</v>
      </c>
      <c r="K258" s="217">
        <f>VLOOKUP($A258,'[4]Ave FTE cost'!$A$407:$Z$434,COLUMN('[4]Ave FTE cost'!$Z$406),FALSE)</f>
        <v>68.738748471822461</v>
      </c>
      <c r="L258" s="217">
        <f>VLOOKUP($A258,'[4]Ave FTE cost'!$A$448:$Z$477,COLUMN('[4]Ave FTE cost'!$Z$406),FALSE)</f>
        <v>70.248501873524404</v>
      </c>
      <c r="M258" s="217">
        <f>VLOOKUP($A258,'[4]Ave FTE cost'!$A$490:$Z$519,COLUMN('[4]Ave FTE cost'!$Z$406),FALSE)</f>
        <v>73.699566259940056</v>
      </c>
      <c r="O258" s="210" t="s">
        <v>242</v>
      </c>
      <c r="P258" s="119"/>
      <c r="Q258" s="211">
        <f t="shared" si="21"/>
        <v>2.6926764060337449E-2</v>
      </c>
      <c r="R258" s="211">
        <f t="shared" si="21"/>
        <v>3.4896165629973552E-2</v>
      </c>
      <c r="S258" s="211">
        <f t="shared" si="21"/>
        <v>2.9298998207150762E-2</v>
      </c>
      <c r="T258" s="211">
        <f t="shared" si="21"/>
        <v>2.108304347274248E-2</v>
      </c>
      <c r="U258" s="211">
        <f t="shared" si="21"/>
        <v>1.4983999394112546E-2</v>
      </c>
      <c r="V258" s="211">
        <f t="shared" si="21"/>
        <v>1.3866684447423339E-2</v>
      </c>
      <c r="W258" s="211">
        <f t="shared" si="21"/>
        <v>6.5944338836059213E-3</v>
      </c>
      <c r="X258" s="211">
        <f t="shared" si="21"/>
        <v>3.7455556629402587E-2</v>
      </c>
      <c r="Y258" s="211">
        <f t="shared" si="21"/>
        <v>2.4368780858993855E-2</v>
      </c>
      <c r="Z258" s="211">
        <f t="shared" si="21"/>
        <v>2.1963644018349049E-2</v>
      </c>
      <c r="AA258" s="221">
        <f>VLOOKUP($O258,'[4]Ave FTE cost'!$A$492:$BB$519,COLUMN('[4]Ave FTE cost'!$BB$490),FALSE)</f>
        <v>5.7882293291710907E-2</v>
      </c>
    </row>
    <row r="259" spans="1:27">
      <c r="A259" s="213" t="s">
        <v>156</v>
      </c>
      <c r="B259" s="47">
        <f>VLOOKUP($A259,'[4]Ave FTE cost'!A$9:Z$32,COLUMN('[4]Ave FTE cost'!$Z$7),FALSE)</f>
        <v>58.081852766634398</v>
      </c>
      <c r="C259" s="47">
        <f>VLOOKUP($A259,'[4]Ave FTE cost'!$A$55:$Z$78,COLUMN('[4]Ave FTE cost'!$Z$7),FALSE)</f>
        <v>60.426871059398394</v>
      </c>
      <c r="D259" s="47">
        <f>VLOOKUP($A259,'[4]Ave FTE cost'!$A$100:$Z$122,COLUMN('[4]Ave FTE cost'!$Z$7),FALSE)</f>
        <v>62.102502985875859</v>
      </c>
      <c r="E259" s="47">
        <f>VLOOKUP($A259,'[4]Ave FTE cost'!$A$144:$Z$166,COLUMN('[4]Ave FTE cost'!$Z$7),FALSE)</f>
        <v>63.335217968881722</v>
      </c>
      <c r="F259" s="47">
        <f>VLOOKUP($A259,'[4]Ave FTE cost'!$A$186:$Z$214,COLUMN('[4]Ave FTE cost'!$Z$7),FALSE)</f>
        <v>65.11921089603112</v>
      </c>
      <c r="G259" s="47">
        <f>VLOOKUP($A259,'[4]Ave FTE cost'!$A$231:$Z$259,COLUMN('[4]Ave FTE cost'!$Z$7),FALSE)</f>
        <v>65.292551834317422</v>
      </c>
      <c r="H259" s="47">
        <f>VLOOKUP($A259,'[4]Ave FTE cost'!$A$275:$Z$303,COLUMN('[4]Ave FTE cost'!$Z$7),FALSE)</f>
        <v>66.518334120970636</v>
      </c>
      <c r="I259" s="47">
        <f>VLOOKUP($A259,'[4]Ave FTE cost'!$A$320:$Z$347,COLUMN('[4]Ave FTE cost'!$Z$7),FALSE)</f>
        <v>67.421610665440454</v>
      </c>
      <c r="J259" s="47">
        <f>VLOOKUP($A259,'[4]Ave FTE cost'!$A$364:$Z$391,COLUMN('[4]Ave FTE cost'!$Z$7),FALSE)</f>
        <v>69.20189370393993</v>
      </c>
      <c r="K259" s="47">
        <f>VLOOKUP($A259,'[4]Ave FTE cost'!$A$407:$Z$434,COLUMN('[4]Ave FTE cost'!$Z$406),FALSE)</f>
        <v>69.998514948477492</v>
      </c>
      <c r="L259" s="47">
        <f>VLOOKUP($A259,'[4]Ave FTE cost'!$A$448:$Z$477,COLUMN('[4]Ave FTE cost'!$Z$406),FALSE)</f>
        <v>72.072370993755612</v>
      </c>
      <c r="M259" s="47">
        <f>VLOOKUP($A259,'[4]Ave FTE cost'!$A$490:$Z$519,COLUMN('[4]Ave FTE cost'!$Z$406),FALSE)</f>
        <v>74.572292142963349</v>
      </c>
      <c r="O259" s="213" t="s">
        <v>156</v>
      </c>
      <c r="Q259" s="89">
        <f t="shared" si="21"/>
        <v>4.0374371358055328E-2</v>
      </c>
      <c r="R259" s="89">
        <f t="shared" si="21"/>
        <v>2.772991381318346E-2</v>
      </c>
      <c r="S259" s="89">
        <f t="shared" si="21"/>
        <v>1.9849682762162146E-2</v>
      </c>
      <c r="T259" s="89">
        <f t="shared" si="21"/>
        <v>2.8167471185240434E-2</v>
      </c>
      <c r="U259" s="89">
        <f t="shared" si="21"/>
        <v>2.6619017015279134E-3</v>
      </c>
      <c r="V259" s="89">
        <f t="shared" si="21"/>
        <v>1.8773692438361023E-2</v>
      </c>
      <c r="W259" s="89">
        <f t="shared" si="21"/>
        <v>1.3579362087257296E-2</v>
      </c>
      <c r="X259" s="89">
        <f t="shared" si="21"/>
        <v>2.6405228545096637E-2</v>
      </c>
      <c r="Y259" s="89">
        <f t="shared" si="21"/>
        <v>1.1511552674348335E-2</v>
      </c>
      <c r="Z259" s="89">
        <f t="shared" si="21"/>
        <v>2.9627143473037743E-2</v>
      </c>
      <c r="AA259" s="56">
        <f>VLOOKUP($O259,'[4]Ave FTE cost'!$A$492:$BB$519,COLUMN('[4]Ave FTE cost'!$BB$490),FALSE)</f>
        <v>4.7907639693751225E-2</v>
      </c>
    </row>
    <row r="260" spans="1:27">
      <c r="D260" s="101"/>
      <c r="E260" s="101"/>
      <c r="F260" s="101"/>
      <c r="G260" s="101"/>
      <c r="H260" s="101"/>
      <c r="I260" s="101"/>
      <c r="J260" s="101"/>
    </row>
    <row r="262" spans="1:27">
      <c r="A262" s="204" t="s">
        <v>264</v>
      </c>
    </row>
    <row r="263" spans="1:27">
      <c r="A263" s="223" t="s">
        <v>265</v>
      </c>
      <c r="B263" s="224">
        <f>'[4]EOY results'!G22</f>
        <v>137048.44739999966</v>
      </c>
      <c r="C263" s="224">
        <f>'[4]EOY results'!H22</f>
        <v>87461.175099999818</v>
      </c>
      <c r="D263" s="224">
        <f>'[4]EOY results'!I22</f>
        <v>15617.960999999792</v>
      </c>
      <c r="E263" s="224">
        <f>'[4]EOY results'!J22</f>
        <v>83343.603100000066</v>
      </c>
      <c r="F263" s="224">
        <f>'[4]EOY results'!K22</f>
        <v>95625.093100000493</v>
      </c>
      <c r="G263" s="224">
        <f>'[4]EOY results'!L22</f>
        <v>146039.72305000026</v>
      </c>
      <c r="H263" s="224">
        <f>'[4]EOY results'!M22</f>
        <v>184915.71081999998</v>
      </c>
      <c r="I263" s="224">
        <f>'[4]EOY results'!N22</f>
        <v>168217.61759999968</v>
      </c>
      <c r="J263" s="224">
        <f>'[4]EOY results'!O22</f>
        <v>170567.59296000126</v>
      </c>
      <c r="K263" s="224">
        <f>'[4]EOY results'!P22</f>
        <v>174022.93133000156</v>
      </c>
      <c r="L263" s="224">
        <f>'[4]EOY results'!Q22</f>
        <v>127575.72574000049</v>
      </c>
      <c r="M263" s="224"/>
    </row>
    <row r="264" spans="1:27">
      <c r="A264" s="223" t="s">
        <v>266</v>
      </c>
      <c r="B264" s="224">
        <f>'[4]EOY results'!G23</f>
        <v>-13700.197800000002</v>
      </c>
      <c r="C264" s="224">
        <f>'[4]EOY results'!H23</f>
        <v>-23989.666100000002</v>
      </c>
      <c r="D264" s="224">
        <f>'[4]EOY results'!I23</f>
        <v>-6096.610999999999</v>
      </c>
      <c r="E264" s="224">
        <f>'[4]EOY results'!J23</f>
        <v>2066.4195000000018</v>
      </c>
      <c r="F264" s="224">
        <f>'[4]EOY results'!K23</f>
        <v>3857.3719493300032</v>
      </c>
      <c r="G264" s="224">
        <f>'[4]EOY results'!L23</f>
        <v>-1978.9749329999977</v>
      </c>
      <c r="H264" s="224">
        <f>'[4]EOY results'!M23</f>
        <v>-6585.1466802999976</v>
      </c>
      <c r="I264" s="224">
        <f>'[4]EOY results'!N23</f>
        <v>-1276.1977366000024</v>
      </c>
      <c r="J264" s="224">
        <f>'[4]EOY results'!O23</f>
        <v>8572.624082699991</v>
      </c>
      <c r="K264" s="224">
        <f>'[4]EOY results'!P23</f>
        <v>-5408.2108764000004</v>
      </c>
      <c r="L264" s="224">
        <f>'[4]EOY results'!Q23</f>
        <v>9766.8651100000006</v>
      </c>
      <c r="M264" s="224"/>
    </row>
    <row r="265" spans="1:27">
      <c r="A265" s="225" t="s">
        <v>267</v>
      </c>
      <c r="B265" s="226">
        <f>'[4]EOY results'!G24</f>
        <v>-166623.03370000009</v>
      </c>
      <c r="C265" s="226">
        <f>'[4]EOY results'!H24</f>
        <v>-218239.83960000006</v>
      </c>
      <c r="D265" s="226">
        <f>'[4]EOY results'!I24</f>
        <v>-111396.06230000003</v>
      </c>
      <c r="E265" s="226">
        <f>'[4]EOY results'!J24</f>
        <v>-101239.44750000001</v>
      </c>
      <c r="F265" s="226">
        <f>'[4]EOY results'!K24</f>
        <v>-122899.85672000036</v>
      </c>
      <c r="G265" s="226">
        <f>'[4]EOY results'!L24</f>
        <v>-162957.6921500001</v>
      </c>
      <c r="H265" s="226">
        <f>'[4]EOY results'!M24</f>
        <v>-185688.7894190001</v>
      </c>
      <c r="I265" s="226">
        <f>'[4]EOY results'!N24</f>
        <v>-232779.34897999986</v>
      </c>
      <c r="J265" s="226">
        <f>'[4]EOY results'!O24</f>
        <v>-236972.48515000046</v>
      </c>
      <c r="K265" s="226">
        <f>'[4]EOY results'!P24</f>
        <v>-287406.51344370015</v>
      </c>
      <c r="L265" s="226">
        <f>'[4]EOY results'!Q24</f>
        <v>-394837.46307999897</v>
      </c>
      <c r="M265" s="227"/>
    </row>
    <row r="266" spans="1:27">
      <c r="A266" s="228" t="s">
        <v>156</v>
      </c>
      <c r="B266" s="229">
        <f>'[4]EOY results'!G25</f>
        <v>-43274.784100000426</v>
      </c>
      <c r="C266" s="229">
        <f>'[4]EOY results'!H25</f>
        <v>-154768.33059999999</v>
      </c>
      <c r="D266" s="229">
        <f>'[4]EOY results'!I25</f>
        <v>-101874.71230000025</v>
      </c>
      <c r="E266" s="229">
        <f>'[4]EOY results'!J25</f>
        <v>-15829.42489999994</v>
      </c>
      <c r="F266" s="229">
        <f>'[4]EOY results'!K25</f>
        <v>-23417.047220669661</v>
      </c>
      <c r="G266" s="229">
        <f>'[4]EOY results'!L25</f>
        <v>-18897.746292999524</v>
      </c>
      <c r="H266" s="229">
        <f>'[4]EOY results'!M25</f>
        <v>-7358.754889299671</v>
      </c>
      <c r="I266" s="229">
        <f>'[4]EOY results'!N25</f>
        <v>-65839.181796600402</v>
      </c>
      <c r="J266" s="229">
        <f>'[4]EOY results'!O25</f>
        <v>-57832.268107299562</v>
      </c>
      <c r="K266" s="229">
        <f>'[4]EOY results'!P25</f>
        <v>-118791.79299009846</v>
      </c>
      <c r="L266" s="229">
        <f>'[4]EOY results'!Q25</f>
        <v>-257494.87222999861</v>
      </c>
      <c r="M266" s="229"/>
    </row>
    <row r="268" spans="1:27">
      <c r="A268" s="230" t="s">
        <v>268</v>
      </c>
      <c r="B268" s="224">
        <f>'[4]Funder Arm Rev'!$B$42</f>
        <v>10005390.9772</v>
      </c>
      <c r="C268" s="224">
        <f>'[4]Funder Arm Rev'!$O$42</f>
        <v>10784268.8715</v>
      </c>
      <c r="D268" s="224">
        <f>'[4]Funder Arm Rev'!$AB$41</f>
        <v>11480234.282500001</v>
      </c>
      <c r="E268" s="224">
        <f>'[4]Funder Arm Rev'!$AO$41</f>
        <v>12000175.524500001</v>
      </c>
      <c r="F268" s="224">
        <f>'[4]Funder Arm Rev'!$B$127</f>
        <v>12371035.714609999</v>
      </c>
      <c r="G268" s="224">
        <f>'[4]Funder Arm Rev'!$O$126</f>
        <v>12903701.121189998</v>
      </c>
      <c r="H268" s="224">
        <f>'[4]Funder Arm Rev'!$AB$126</f>
        <v>13206552.29854</v>
      </c>
      <c r="I268" s="224">
        <f>'[4]Funder Arm Rev'!$AO$126</f>
        <v>13526539.08904</v>
      </c>
      <c r="J268" s="224">
        <f>'[4]Funder Arm Rev'!$B$225</f>
        <v>13841550.576590011</v>
      </c>
      <c r="K268" s="224">
        <f>'[4]Funder Arm Rev'!$O$225</f>
        <v>14339922.648920005</v>
      </c>
      <c r="L268" s="224">
        <f>'[4]Funder Arm Rev'!$AB$225</f>
        <v>15127435.54813</v>
      </c>
      <c r="M268" s="224">
        <f>'[4]Funder Arm Rev'!$AO$225</f>
        <v>11978308.814220002</v>
      </c>
    </row>
    <row r="269" spans="1:27">
      <c r="A269" s="230" t="s">
        <v>269</v>
      </c>
      <c r="B269" s="89">
        <f>B134/B268</f>
        <v>0.62657587522425973</v>
      </c>
      <c r="C269" s="89">
        <f t="shared" ref="C269:M269" si="22">C134/C268</f>
        <v>0.63673906923324808</v>
      </c>
      <c r="D269" s="89">
        <f t="shared" si="22"/>
        <v>0.62781148375923834</v>
      </c>
      <c r="E269" s="89">
        <f t="shared" si="22"/>
        <v>0.6319814705056982</v>
      </c>
      <c r="F269" s="89">
        <f t="shared" si="22"/>
        <v>0.62967544874439585</v>
      </c>
      <c r="G269" s="89">
        <f t="shared" si="22"/>
        <v>0.62119980864379887</v>
      </c>
      <c r="H269" s="89">
        <f t="shared" si="22"/>
        <v>0.62862941755940338</v>
      </c>
      <c r="I269" s="89">
        <f t="shared" si="22"/>
        <v>0.63992902341469016</v>
      </c>
      <c r="J269" s="89">
        <f t="shared" si="22"/>
        <v>0.64347614967168287</v>
      </c>
      <c r="K269" s="89">
        <f t="shared" si="22"/>
        <v>0.64435492684401618</v>
      </c>
      <c r="L269" s="89">
        <f t="shared" si="22"/>
        <v>0.65178269153351853</v>
      </c>
      <c r="M269" s="89">
        <f t="shared" si="22"/>
        <v>0.65187111043842783</v>
      </c>
    </row>
  </sheetData>
  <pageMargins left="0.7" right="0.7" top="0.75" bottom="0.75" header="0.3" footer="0.3"/>
  <pageSetup paperSize="9"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EG117"/>
  <sheetViews>
    <sheetView topLeftCell="U1" zoomScale="85" zoomScaleNormal="85" workbookViewId="0">
      <selection activeCell="F115" sqref="F115"/>
    </sheetView>
  </sheetViews>
  <sheetFormatPr defaultRowHeight="15"/>
  <cols>
    <col min="3" max="3" width="14.85546875" customWidth="1"/>
    <col min="4" max="11" width="13" bestFit="1" customWidth="1"/>
    <col min="12" max="12" width="12.85546875" bestFit="1" customWidth="1"/>
    <col min="13" max="13" width="11.28515625" customWidth="1"/>
    <col min="14" max="14" width="16.140625" customWidth="1"/>
    <col min="15" max="15" width="12.42578125" customWidth="1"/>
    <col min="16" max="16" width="11.140625" bestFit="1" customWidth="1"/>
    <col min="18" max="19" width="13.42578125" bestFit="1" customWidth="1"/>
    <col min="20" max="20" width="11.85546875" bestFit="1" customWidth="1"/>
    <col min="21" max="21" width="26.42578125" customWidth="1"/>
    <col min="22" max="23" width="17.85546875" customWidth="1"/>
    <col min="24" max="24" width="5.140625" customWidth="1"/>
    <col min="25" max="25" width="23.5703125" customWidth="1"/>
    <col min="48" max="48" width="26.7109375" customWidth="1"/>
    <col min="50" max="50" width="12.28515625" customWidth="1"/>
    <col min="51" max="51" width="11.85546875" customWidth="1"/>
    <col min="52" max="52" width="10.5703125" bestFit="1" customWidth="1"/>
    <col min="54" max="54" width="4.7109375" customWidth="1"/>
    <col min="55" max="56" width="13.28515625" customWidth="1"/>
    <col min="82" max="83" width="10.85546875" customWidth="1"/>
    <col min="91" max="91" width="12" customWidth="1"/>
    <col min="92" max="92" width="10.42578125" customWidth="1"/>
    <col min="96" max="96" width="27.140625" customWidth="1"/>
    <col min="106" max="106" width="9.140625" customWidth="1"/>
    <col min="111" max="111" width="12.7109375" bestFit="1" customWidth="1"/>
    <col min="112" max="125" width="12.7109375" customWidth="1"/>
    <col min="134" max="134" width="18" bestFit="1" customWidth="1"/>
    <col min="135" max="135" width="10.5703125" bestFit="1" customWidth="1"/>
    <col min="136" max="136" width="19.85546875" customWidth="1"/>
    <col min="138" max="138" width="14.140625" bestFit="1" customWidth="1"/>
  </cols>
  <sheetData>
    <row r="1" spans="1:137">
      <c r="A1" t="s">
        <v>270</v>
      </c>
      <c r="AU1" s="109" t="s">
        <v>149</v>
      </c>
      <c r="BF1" s="109" t="s">
        <v>271</v>
      </c>
      <c r="DG1" s="38">
        <v>2005</v>
      </c>
      <c r="DH1" s="38">
        <v>2006</v>
      </c>
      <c r="DI1" s="38">
        <v>2007</v>
      </c>
      <c r="DJ1" s="38">
        <v>2008</v>
      </c>
      <c r="DK1" s="38">
        <v>2009</v>
      </c>
      <c r="DL1" s="38">
        <v>2010</v>
      </c>
      <c r="DM1" s="38">
        <v>2011</v>
      </c>
      <c r="DN1" s="38">
        <v>2012</v>
      </c>
      <c r="DO1" s="38">
        <v>2013</v>
      </c>
      <c r="DP1" s="38">
        <v>2014</v>
      </c>
      <c r="DQ1" s="38">
        <v>2015</v>
      </c>
      <c r="DR1" s="38">
        <v>2016</v>
      </c>
      <c r="DS1" s="38">
        <v>2017</v>
      </c>
      <c r="DT1" s="38">
        <v>2018</v>
      </c>
      <c r="DU1" s="38"/>
      <c r="ED1" s="116"/>
      <c r="EE1" s="116"/>
      <c r="EF1" s="231" t="s">
        <v>272</v>
      </c>
      <c r="EG1" s="116"/>
    </row>
    <row r="2" spans="1:137">
      <c r="CR2" t="s">
        <v>273</v>
      </c>
      <c r="DG2" s="232">
        <f t="array" ref="DG2">SUM(DG$8:DG$24*$CI$43:$CI$59,DG$27*$CI$60)+SUM(DG$29:DG$45*$CH$43:$CH$59,DG$48*$CH$60)</f>
        <v>1139823250.1545281</v>
      </c>
      <c r="DH2" s="232">
        <f t="array" ref="DH2">SUM(DH$8:DH$24*$CI$43:$CI$59,DH$27*$CI$60)+SUM(DH$29:DH$45*$CH$43:$CH$59,DH$48*$CH$60)</f>
        <v>1152779026.260571</v>
      </c>
      <c r="DI2" s="232">
        <f t="array" ref="DI2">SUM(DI$8:DI$24*$CI$43:$CI$59,DI$27*$CI$60)+SUM(DI$29:DI$45*$CH$43:$CH$59,DI$48*$CH$60)</f>
        <v>1159949417.4691286</v>
      </c>
      <c r="DJ2" s="232">
        <f t="array" ref="DJ2">SUM(DJ$8:DJ$24*$CI$43:$CI$59,DJ$27*$CI$60)+SUM(DJ$29:DJ$45*$CH$43:$CH$59,DJ$48*$CH$60)</f>
        <v>1165610306.724246</v>
      </c>
      <c r="DK2" s="232">
        <f t="array" ref="DK2">SUM(DK$8:DK$24*$CI$43:$CI$59,DK$27*$CI$60)+SUM(DK$29:DK$45*$CH$43:$CH$59,DK$48*$CH$60)</f>
        <v>1173290376.8405013</v>
      </c>
      <c r="DL2" s="232">
        <f t="array" ref="DL2">SUM(DL$8:DL$24*$CI$43:$CI$59,DL$27*$CI$60)+SUM(DL$29:DL$45*$CH$43:$CH$59,DL$48*$CH$60)</f>
        <v>1182201498.9189248</v>
      </c>
      <c r="DM2" s="232">
        <f t="array" ref="DM2">SUM(DM$8:DM$24*$CI$43:$CI$59,DM$27*$CI$60)+SUM(DM$29:DM$45*$CH$43:$CH$59,DM$48*$CH$60)</f>
        <v>1186834576.2193942</v>
      </c>
      <c r="DN2" s="232">
        <f t="array" ref="DN2">SUM(DN$8:DN$24*$CI$43:$CI$59,DN$27*$CI$60)+SUM(DN$29:DN$45*$CH$43:$CH$59,DN$48*$CH$60)</f>
        <v>1189037092.0352807</v>
      </c>
      <c r="DO2" s="232">
        <f t="array" ref="DO2">SUM(DO$8:DO$24*$CI$43:$CI$59,DO$27*$CI$60)+SUM(DO$29:DO$45*$CH$43:$CH$59,DO$48*$CH$60)</f>
        <v>1195555073.0181746</v>
      </c>
      <c r="DP2" s="232">
        <f t="array" ref="DP2">SUM(DP$8:DP$24*$CI$43:$CI$59,DP$27*$CI$60)+SUM(DP$29:DP$45*$CH$43:$CH$59,DP$48*$CH$60)</f>
        <v>1214492211.5867083</v>
      </c>
      <c r="DQ2" s="232">
        <f t="array" ref="DQ2">SUM(DQ$8:DQ$24*$CI$43:$CI$59,DQ$27*$CI$60)+SUM(DQ$29:DQ$45*$CH$43:$CH$59,DQ$48*$CH$60)</f>
        <v>1241210815.0333831</v>
      </c>
      <c r="DR2" s="232">
        <f t="array" ref="DR2">SUM(DR$8:DR$24*$CI$43:$CI$59,DR$27*$CI$60)+SUM(DR$29:DR$45*$CH$43:$CH$59,DR$48*$CH$60)</f>
        <v>1271598646.7317541</v>
      </c>
      <c r="DS2" s="232">
        <f t="array" ref="DS2">SUM(DS$8:DS$24*$CI$43:$CI$59,DS$27*$CI$60)+SUM(DS$29:DS$45*$CH$43:$CH$59,DS$48*$CH$60)</f>
        <v>1302684182.9342721</v>
      </c>
      <c r="DT2" s="232">
        <f t="array" ref="DT2">SUM(DT$8:DT$24*$CI$43:$CI$59,DT$27*$CI$60)+SUM(DT$29:DT$45*$CH$43:$CH$59,DT$48*$CH$60)</f>
        <v>1331398338.5983927</v>
      </c>
      <c r="DU2" s="232"/>
      <c r="ED2" s="116"/>
      <c r="EE2" s="231" t="s">
        <v>274</v>
      </c>
      <c r="EF2" s="116" t="s">
        <v>275</v>
      </c>
      <c r="EG2" s="116"/>
    </row>
    <row r="3" spans="1:137" ht="15" customHeight="1">
      <c r="D3" s="233" t="s">
        <v>276</v>
      </c>
      <c r="AU3" s="234" t="s">
        <v>277</v>
      </c>
      <c r="AV3" s="234"/>
      <c r="AW3" s="235" t="s">
        <v>278</v>
      </c>
      <c r="BA3" s="235" t="s">
        <v>278</v>
      </c>
      <c r="BC3" s="38" t="s">
        <v>279</v>
      </c>
      <c r="BD3" s="38"/>
      <c r="BF3" s="234" t="s">
        <v>280</v>
      </c>
      <c r="BG3" s="234"/>
      <c r="BH3" s="234"/>
      <c r="BI3" s="234"/>
      <c r="BJ3" s="234"/>
      <c r="BK3" s="234"/>
      <c r="BL3" s="234"/>
      <c r="BM3" s="234"/>
      <c r="BN3" s="234"/>
      <c r="BO3" s="234"/>
      <c r="BP3" s="234"/>
      <c r="BQ3" s="234"/>
      <c r="BR3" s="234"/>
      <c r="BS3" s="234"/>
      <c r="BT3" s="234"/>
      <c r="BU3" s="234"/>
      <c r="BV3" s="234"/>
      <c r="BW3" s="234"/>
      <c r="BX3" s="234"/>
      <c r="BY3" s="234"/>
      <c r="BZ3" s="234"/>
      <c r="CA3" s="234"/>
      <c r="CF3" s="235" t="s">
        <v>278</v>
      </c>
      <c r="CH3" s="38" t="s">
        <v>279</v>
      </c>
      <c r="CL3" s="38" t="s">
        <v>279</v>
      </c>
      <c r="CR3" t="s">
        <v>144</v>
      </c>
      <c r="DG3" s="95">
        <f>SUM(DG50:DG67,DG69)</f>
        <v>4133850</v>
      </c>
      <c r="DH3" s="95">
        <f t="shared" ref="DH3:DT3" si="0">SUM(DH50:DH67,DH69)</f>
        <v>4184580</v>
      </c>
      <c r="DI3" s="95">
        <f t="shared" si="0"/>
        <v>4223780</v>
      </c>
      <c r="DJ3" s="95">
        <f t="shared" si="0"/>
        <v>4259760</v>
      </c>
      <c r="DK3" s="95">
        <f t="shared" si="0"/>
        <v>4302610</v>
      </c>
      <c r="DL3" s="95">
        <f t="shared" si="0"/>
        <v>4350680</v>
      </c>
      <c r="DM3" s="95">
        <f t="shared" si="0"/>
        <v>4383980</v>
      </c>
      <c r="DN3" s="95">
        <f t="shared" si="0"/>
        <v>4408050</v>
      </c>
      <c r="DO3" s="95">
        <f t="shared" si="0"/>
        <v>4442090</v>
      </c>
      <c r="DP3" s="95">
        <f t="shared" si="0"/>
        <v>4509750</v>
      </c>
      <c r="DQ3" s="95">
        <f t="shared" si="0"/>
        <v>4595720</v>
      </c>
      <c r="DR3" s="95">
        <f t="shared" si="0"/>
        <v>4693210</v>
      </c>
      <c r="DS3" s="95">
        <f t="shared" si="0"/>
        <v>4793860</v>
      </c>
      <c r="DT3" s="95">
        <f t="shared" si="0"/>
        <v>4885570</v>
      </c>
      <c r="DU3" s="95"/>
      <c r="DV3" s="89">
        <f>DR3/DL3-1</f>
        <v>7.8730221482618878E-2</v>
      </c>
      <c r="ED3" s="116"/>
      <c r="EE3" s="231">
        <v>2008</v>
      </c>
      <c r="EF3" s="116"/>
      <c r="EG3" s="116"/>
    </row>
    <row r="4" spans="1:137" ht="15" customHeight="1">
      <c r="C4" s="233" t="s">
        <v>281</v>
      </c>
      <c r="Z4" s="109" t="s">
        <v>282</v>
      </c>
      <c r="AA4" t="s">
        <v>283</v>
      </c>
      <c r="AU4" s="236"/>
      <c r="AV4" s="237" t="s">
        <v>284</v>
      </c>
      <c r="AW4" s="235"/>
      <c r="AX4" s="237" t="s">
        <v>285</v>
      </c>
      <c r="AY4" s="38" t="s">
        <v>286</v>
      </c>
      <c r="BA4" s="235"/>
      <c r="BC4" s="38" t="s">
        <v>149</v>
      </c>
      <c r="BD4" s="38"/>
      <c r="BF4" s="236"/>
      <c r="BG4" s="238" t="s">
        <v>287</v>
      </c>
      <c r="BH4" s="238"/>
      <c r="BI4" s="238"/>
      <c r="BJ4" s="238"/>
      <c r="BK4" s="238"/>
      <c r="BL4" s="238"/>
      <c r="BM4" s="238"/>
      <c r="BN4" s="238"/>
      <c r="BO4" s="238"/>
      <c r="BP4" s="238"/>
      <c r="BQ4" s="238"/>
      <c r="BR4" s="238"/>
      <c r="BS4" s="238"/>
      <c r="BT4" s="238"/>
      <c r="BU4" s="238"/>
      <c r="BV4" s="238"/>
      <c r="BW4" s="238"/>
      <c r="BX4" s="238"/>
      <c r="BY4" s="238"/>
      <c r="BZ4" s="238"/>
      <c r="CA4" s="238"/>
      <c r="CD4" s="38" t="s">
        <v>286</v>
      </c>
      <c r="CF4" s="235"/>
      <c r="CH4" s="109" t="s">
        <v>271</v>
      </c>
      <c r="CL4" s="109" t="s">
        <v>288</v>
      </c>
      <c r="CR4" s="234" t="s">
        <v>280</v>
      </c>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9"/>
      <c r="ED4" s="116"/>
      <c r="EE4" s="116">
        <v>2009</v>
      </c>
      <c r="EF4" s="116"/>
      <c r="EG4" s="240"/>
    </row>
    <row r="5" spans="1:137">
      <c r="D5">
        <v>2004</v>
      </c>
      <c r="E5">
        <v>2005</v>
      </c>
      <c r="F5">
        <v>2006</v>
      </c>
      <c r="G5">
        <v>2007</v>
      </c>
      <c r="H5">
        <v>2008</v>
      </c>
      <c r="I5">
        <v>2009</v>
      </c>
      <c r="J5">
        <v>2010</v>
      </c>
      <c r="K5">
        <v>2011</v>
      </c>
      <c r="L5">
        <v>2012</v>
      </c>
      <c r="M5">
        <v>2013</v>
      </c>
      <c r="N5">
        <v>2014</v>
      </c>
      <c r="O5" s="241">
        <v>2015</v>
      </c>
      <c r="AU5" s="236"/>
      <c r="AV5" s="237" t="s">
        <v>156</v>
      </c>
      <c r="AW5" s="235"/>
      <c r="AX5" s="237" t="s">
        <v>156</v>
      </c>
      <c r="AY5" t="s">
        <v>289</v>
      </c>
      <c r="AZ5" t="s">
        <v>149</v>
      </c>
      <c r="BA5" s="235"/>
      <c r="BC5" t="s">
        <v>289</v>
      </c>
      <c r="BD5" t="s">
        <v>290</v>
      </c>
      <c r="BF5" s="236"/>
      <c r="BG5" s="238" t="s">
        <v>156</v>
      </c>
      <c r="BH5" s="238"/>
      <c r="BI5" s="238"/>
      <c r="BJ5" s="238"/>
      <c r="BK5" s="238"/>
      <c r="BL5" s="238"/>
      <c r="BM5" s="238"/>
      <c r="BN5" s="238"/>
      <c r="BO5" s="238"/>
      <c r="BP5" s="238"/>
      <c r="BQ5" s="238"/>
      <c r="BR5" s="238"/>
      <c r="BS5" s="238"/>
      <c r="BT5" s="238"/>
      <c r="BU5" s="238"/>
      <c r="BV5" s="238"/>
      <c r="BW5" s="238"/>
      <c r="BX5" s="238"/>
      <c r="BY5" s="238"/>
      <c r="BZ5" s="238"/>
      <c r="CA5" s="238"/>
      <c r="CD5" t="s">
        <v>289</v>
      </c>
      <c r="CE5" t="s">
        <v>291</v>
      </c>
      <c r="CF5" s="235"/>
      <c r="CH5" t="s">
        <v>292</v>
      </c>
      <c r="CL5" t="s">
        <v>293</v>
      </c>
      <c r="CM5" t="s">
        <v>272</v>
      </c>
      <c r="CN5" t="s">
        <v>189</v>
      </c>
      <c r="CR5" s="236"/>
      <c r="CS5" s="238" t="s">
        <v>287</v>
      </c>
      <c r="CT5" s="238"/>
      <c r="CU5" s="238"/>
      <c r="CV5" s="238"/>
      <c r="CW5" s="238"/>
      <c r="CX5" s="238"/>
      <c r="CY5" s="238"/>
      <c r="CZ5" s="238"/>
      <c r="DA5" s="238"/>
      <c r="DB5" s="238"/>
      <c r="DC5" s="238"/>
      <c r="DD5" s="238"/>
      <c r="DE5" s="238"/>
      <c r="DF5" s="238"/>
      <c r="DG5" s="238"/>
      <c r="DH5" s="238"/>
      <c r="DI5" s="238"/>
      <c r="DJ5" s="238"/>
      <c r="DK5" s="238"/>
      <c r="DL5" s="238"/>
      <c r="DM5" s="238"/>
      <c r="DN5" s="238"/>
      <c r="DO5" s="238"/>
      <c r="DP5" s="238"/>
      <c r="DQ5" s="238"/>
      <c r="DR5" s="238"/>
      <c r="DS5" s="238"/>
      <c r="DT5" s="238"/>
      <c r="DU5" s="242"/>
      <c r="DW5" t="s">
        <v>294</v>
      </c>
      <c r="ED5" s="116"/>
      <c r="EE5" s="231">
        <v>2010</v>
      </c>
      <c r="EF5" s="231"/>
      <c r="EG5" s="240"/>
    </row>
    <row r="6" spans="1:137" ht="30">
      <c r="C6" s="243" t="s">
        <v>295</v>
      </c>
      <c r="D6" s="243"/>
      <c r="E6" s="244"/>
      <c r="F6" s="244"/>
      <c r="G6" s="244"/>
      <c r="H6" s="244"/>
      <c r="I6" s="244"/>
      <c r="J6" s="244"/>
      <c r="K6" s="244"/>
      <c r="L6" s="244"/>
      <c r="M6" s="244"/>
      <c r="N6" s="244"/>
      <c r="O6" s="245"/>
      <c r="R6" t="s">
        <v>296</v>
      </c>
      <c r="S6" t="s">
        <v>297</v>
      </c>
      <c r="T6" t="s">
        <v>298</v>
      </c>
      <c r="V6" s="246" t="s">
        <v>299</v>
      </c>
      <c r="W6" s="246"/>
      <c r="Y6" s="247"/>
      <c r="Z6" s="119">
        <v>2015</v>
      </c>
      <c r="AA6" s="119">
        <v>2016</v>
      </c>
      <c r="AB6" s="119">
        <v>2017</v>
      </c>
      <c r="AC6" s="119">
        <v>2018</v>
      </c>
      <c r="AD6" s="119">
        <v>2019</v>
      </c>
      <c r="AE6" s="119">
        <v>2020</v>
      </c>
      <c r="AF6" s="119">
        <v>2021</v>
      </c>
      <c r="AG6" s="119">
        <v>2022</v>
      </c>
      <c r="AH6" s="119">
        <v>2023</v>
      </c>
      <c r="AI6" s="119">
        <v>2024</v>
      </c>
      <c r="AJ6" s="119">
        <v>2025</v>
      </c>
      <c r="AK6" s="119">
        <v>2026</v>
      </c>
      <c r="AL6" s="119">
        <v>2027</v>
      </c>
      <c r="AM6" s="119">
        <v>2028</v>
      </c>
      <c r="AN6" s="119">
        <v>2029</v>
      </c>
      <c r="AO6" s="119">
        <v>2030</v>
      </c>
      <c r="AP6" s="119">
        <v>2031</v>
      </c>
      <c r="AQ6" s="119">
        <v>2032</v>
      </c>
      <c r="AR6" s="119">
        <v>2033</v>
      </c>
      <c r="AU6" s="248" t="s">
        <v>300</v>
      </c>
      <c r="AV6" s="95">
        <v>16647</v>
      </c>
      <c r="AX6" s="95">
        <v>16536</v>
      </c>
      <c r="AY6">
        <v>2017</v>
      </c>
      <c r="AZ6" s="47">
        <f>SUM(AV44:AV47)</f>
        <v>58641</v>
      </c>
      <c r="BA6" s="89">
        <f>AZ6/SUM(AV40:AV43)-1</f>
        <v>-1.1179684338324614E-2</v>
      </c>
      <c r="BC6">
        <v>2009</v>
      </c>
      <c r="BD6" s="89">
        <f>VLOOKUP(TEXT($BC6,"0000Q2"),$AU$6:$AW$49,3)</f>
        <v>-1.9721577726218076E-2</v>
      </c>
      <c r="BF6" s="236"/>
      <c r="BG6" s="237" t="s">
        <v>301</v>
      </c>
      <c r="BH6" s="237" t="s">
        <v>302</v>
      </c>
      <c r="BI6" s="237" t="s">
        <v>303</v>
      </c>
      <c r="BJ6" s="237" t="s">
        <v>304</v>
      </c>
      <c r="BK6" s="237" t="s">
        <v>305</v>
      </c>
      <c r="BL6" s="237" t="s">
        <v>306</v>
      </c>
      <c r="BM6" s="237" t="s">
        <v>307</v>
      </c>
      <c r="BN6" s="237" t="s">
        <v>308</v>
      </c>
      <c r="BO6" s="237" t="s">
        <v>309</v>
      </c>
      <c r="BP6" s="237" t="s">
        <v>310</v>
      </c>
      <c r="BQ6" s="237" t="s">
        <v>311</v>
      </c>
      <c r="BR6" s="237" t="s">
        <v>312</v>
      </c>
      <c r="BS6" s="237" t="s">
        <v>313</v>
      </c>
      <c r="BT6" s="237" t="s">
        <v>314</v>
      </c>
      <c r="BU6" s="237" t="s">
        <v>315</v>
      </c>
      <c r="BV6" s="237" t="s">
        <v>316</v>
      </c>
      <c r="BW6" s="237" t="s">
        <v>317</v>
      </c>
      <c r="BX6" s="237" t="s">
        <v>318</v>
      </c>
      <c r="BY6" s="237" t="s">
        <v>319</v>
      </c>
      <c r="BZ6" s="237" t="s">
        <v>320</v>
      </c>
      <c r="CA6" s="237" t="s">
        <v>321</v>
      </c>
      <c r="CB6" s="237" t="s">
        <v>290</v>
      </c>
      <c r="CD6">
        <v>2013</v>
      </c>
      <c r="CE6" s="95">
        <f>SUM([5]Total!$D1869:$W1869)</f>
        <v>1221250</v>
      </c>
      <c r="CH6">
        <v>2008</v>
      </c>
      <c r="CI6" s="197">
        <f>CB8</f>
        <v>4.2236024844719555E-3</v>
      </c>
      <c r="CL6">
        <v>2006</v>
      </c>
      <c r="CM6" s="249">
        <f t="shared" ref="CM6:CM15" si="1">HLOOKUP($CL6,$DG$1:$DT$2,2)/1000000</f>
        <v>1152.7790262605711</v>
      </c>
      <c r="CN6" s="212">
        <f t="shared" ref="CN6:CN15" si="2">HLOOKUP($CL6,$DG$1:$DT$2,2)/HLOOKUP($CL6-1,$DG$1:$DT$2,2)-1</f>
        <v>1.1366478183601147E-2</v>
      </c>
      <c r="CR6" s="236"/>
      <c r="CS6" s="237" t="s">
        <v>322</v>
      </c>
      <c r="CT6" s="237" t="s">
        <v>323</v>
      </c>
      <c r="CU6" s="237" t="s">
        <v>324</v>
      </c>
      <c r="CV6" s="237" t="s">
        <v>325</v>
      </c>
      <c r="CW6" s="237" t="s">
        <v>326</v>
      </c>
      <c r="CX6" s="237" t="s">
        <v>327</v>
      </c>
      <c r="CY6" s="237" t="s">
        <v>328</v>
      </c>
      <c r="CZ6" s="237" t="s">
        <v>329</v>
      </c>
      <c r="DA6" s="237" t="s">
        <v>330</v>
      </c>
      <c r="DB6" s="237" t="s">
        <v>331</v>
      </c>
      <c r="DC6" s="237" t="s">
        <v>332</v>
      </c>
      <c r="DD6" s="237" t="s">
        <v>333</v>
      </c>
      <c r="DE6" s="237" t="s">
        <v>334</v>
      </c>
      <c r="DF6" s="237" t="s">
        <v>335</v>
      </c>
      <c r="DG6" s="237" t="s">
        <v>336</v>
      </c>
      <c r="DH6" s="237" t="s">
        <v>337</v>
      </c>
      <c r="DI6" s="237" t="s">
        <v>338</v>
      </c>
      <c r="DJ6" s="237" t="s">
        <v>339</v>
      </c>
      <c r="DK6" s="237" t="s">
        <v>340</v>
      </c>
      <c r="DL6" s="237" t="s">
        <v>341</v>
      </c>
      <c r="DM6" s="237" t="s">
        <v>342</v>
      </c>
      <c r="DN6" s="237" t="s">
        <v>343</v>
      </c>
      <c r="DO6" s="237" t="s">
        <v>344</v>
      </c>
      <c r="DP6" s="237" t="s">
        <v>345</v>
      </c>
      <c r="DQ6" s="237" t="s">
        <v>346</v>
      </c>
      <c r="DR6" s="237" t="s">
        <v>347</v>
      </c>
      <c r="DS6" s="237" t="s">
        <v>348</v>
      </c>
      <c r="DT6" s="237" t="s">
        <v>349</v>
      </c>
      <c r="DU6" s="242"/>
      <c r="DW6">
        <v>2011</v>
      </c>
      <c r="DX6">
        <v>2012</v>
      </c>
      <c r="DY6">
        <v>2013</v>
      </c>
      <c r="DZ6">
        <v>2014</v>
      </c>
      <c r="EA6">
        <v>2015</v>
      </c>
      <c r="EB6">
        <v>2016</v>
      </c>
      <c r="ED6" s="116"/>
      <c r="EE6" s="116">
        <v>2011</v>
      </c>
      <c r="EF6" s="250"/>
      <c r="EG6" s="240"/>
    </row>
    <row r="7" spans="1:137">
      <c r="C7" s="251" t="s">
        <v>350</v>
      </c>
      <c r="D7" s="252">
        <v>1.6793481443365794E-2</v>
      </c>
      <c r="E7" s="244"/>
      <c r="F7" s="244"/>
      <c r="G7" s="244"/>
      <c r="H7" s="244"/>
      <c r="I7" s="244"/>
      <c r="J7" s="244"/>
      <c r="K7" s="244"/>
      <c r="L7" s="244"/>
      <c r="M7" s="244"/>
      <c r="N7" s="244"/>
      <c r="O7" s="245"/>
      <c r="Q7" s="251" t="s">
        <v>350</v>
      </c>
      <c r="R7" s="244"/>
      <c r="S7" s="244"/>
      <c r="T7" s="244"/>
      <c r="V7" s="253" t="s">
        <v>289</v>
      </c>
      <c r="Y7" s="117" t="s">
        <v>351</v>
      </c>
      <c r="Z7" s="254">
        <f>'[6]1. Demo - DHB Devolved'!D8</f>
        <v>2.9295302459547257E-2</v>
      </c>
      <c r="AA7" s="254">
        <f>'[6]1. Demo - DHB Devolved'!E8</f>
        <v>3.5378792641817425E-2</v>
      </c>
      <c r="AB7" s="254">
        <f>'[6]1. Demo - DHB Devolved'!F8</f>
        <v>3.4621154019178535E-2</v>
      </c>
      <c r="AC7" s="254">
        <f>'[6]1. Demo - DHB Devolved'!G8</f>
        <v>3.028331572880516E-2</v>
      </c>
      <c r="AD7" s="254">
        <f>'[6]1. Demo - DHB Devolved'!H8</f>
        <v>2.7485785888241132E-2</v>
      </c>
      <c r="AE7" s="254">
        <f>'[6]1. Demo - DHB Devolved'!I8</f>
        <v>2.7916253685869474E-2</v>
      </c>
      <c r="AF7" s="254">
        <f>'[6]1. Demo - DHB Devolved'!J8</f>
        <v>2.796081460322819E-2</v>
      </c>
      <c r="AG7" s="254">
        <f>'[6]1. Demo - DHB Devolved'!K8</f>
        <v>2.5062922789238273E-2</v>
      </c>
      <c r="AH7" s="254">
        <f>'[6]1. Demo - DHB Devolved'!L8</f>
        <v>2.2793463279745962E-2</v>
      </c>
      <c r="AI7" s="254">
        <f>'[6]1. Demo - DHB Devolved'!M8</f>
        <v>2.1799309516056908E-2</v>
      </c>
      <c r="AJ7" s="254">
        <f>'[6]1. Demo - DHB Devolved'!N8</f>
        <v>2.1991750832804913E-2</v>
      </c>
      <c r="AK7" s="254">
        <f>'[6]1. Demo - DHB Devolved'!O8</f>
        <v>2.3061102715332682E-2</v>
      </c>
      <c r="AL7" s="254">
        <f>'[6]1. Demo - DHB Devolved'!P8</f>
        <v>2.2346338582717173E-2</v>
      </c>
      <c r="AM7" s="254">
        <f>'[6]1. Demo - DHB Devolved'!Q8</f>
        <v>2.2317721092100617E-2</v>
      </c>
      <c r="AN7" s="254">
        <f>'[6]1. Demo - DHB Devolved'!R8</f>
        <v>2.139579174314532E-2</v>
      </c>
      <c r="AO7" s="254">
        <f>'[6]1. Demo - DHB Devolved'!S8</f>
        <v>2.1079983056151885E-2</v>
      </c>
      <c r="AP7" s="254">
        <f>'[6]1. Demo - DHB Devolved'!T8</f>
        <v>2.1058710022179961E-2</v>
      </c>
      <c r="AQ7" s="254">
        <f>'[6]1. Demo - DHB Devolved'!U8</f>
        <v>2.2142832053362538E-2</v>
      </c>
      <c r="AR7" s="254">
        <f>'[6]1. Demo - DHB Devolved'!V8</f>
        <v>2.119151131768815E-2</v>
      </c>
      <c r="AU7" s="248" t="s">
        <v>352</v>
      </c>
      <c r="AV7" s="95">
        <v>15855</v>
      </c>
      <c r="AX7" s="95">
        <v>15759</v>
      </c>
      <c r="AY7">
        <v>2018</v>
      </c>
      <c r="AZ7" s="47">
        <f>SUM(AV48:AV51)</f>
        <v>60804</v>
      </c>
      <c r="BA7" s="89">
        <f>AZ7/AZ6-1</f>
        <v>3.6885455568629544E-2</v>
      </c>
      <c r="BC7">
        <v>2010</v>
      </c>
      <c r="BD7" s="89">
        <f t="shared" ref="BD7:BD14" si="3">VLOOKUP(TEXT($BC7,"0000Q2"),$AU$6:$AW$49,3)</f>
        <v>1.8745562130177529E-2</v>
      </c>
      <c r="BF7" s="248" t="s">
        <v>338</v>
      </c>
      <c r="BG7" s="95">
        <v>62130</v>
      </c>
      <c r="BH7" s="95">
        <v>59010</v>
      </c>
      <c r="BI7" s="95">
        <v>57590</v>
      </c>
      <c r="BJ7" s="95">
        <v>57940</v>
      </c>
      <c r="BK7" s="95">
        <v>56430</v>
      </c>
      <c r="BL7" s="95">
        <v>56240</v>
      </c>
      <c r="BM7" s="95">
        <v>58590</v>
      </c>
      <c r="BN7" s="95">
        <v>59730</v>
      </c>
      <c r="BO7" s="95">
        <v>58040</v>
      </c>
      <c r="BP7" s="95">
        <v>59180</v>
      </c>
      <c r="BQ7" s="95">
        <v>59180</v>
      </c>
      <c r="BR7" s="95">
        <v>60730</v>
      </c>
      <c r="BS7" s="95">
        <v>61730</v>
      </c>
      <c r="BT7" s="95">
        <v>61700</v>
      </c>
      <c r="BU7" s="95">
        <v>63040</v>
      </c>
      <c r="BV7" s="95">
        <v>63690</v>
      </c>
      <c r="BW7" s="95">
        <v>65470</v>
      </c>
      <c r="BX7" s="95">
        <v>64350</v>
      </c>
      <c r="BY7" s="95">
        <v>61950</v>
      </c>
      <c r="BZ7" s="95">
        <v>60820</v>
      </c>
      <c r="CA7" s="95">
        <v>1207500</v>
      </c>
      <c r="CC7" s="95"/>
      <c r="CD7">
        <v>2014</v>
      </c>
      <c r="CE7" s="95">
        <f>SUM([5]Total!$D1870:$W1870)</f>
        <v>1223520</v>
      </c>
      <c r="CF7" s="89">
        <f>CE7/CE6-1</f>
        <v>1.8587512794268068E-3</v>
      </c>
      <c r="CH7">
        <v>2009</v>
      </c>
      <c r="CI7" s="197">
        <f t="shared" ref="CI7:CI16" si="4">CB9</f>
        <v>4.6181758205507961E-3</v>
      </c>
      <c r="CL7">
        <v>2007</v>
      </c>
      <c r="CM7" s="249">
        <f t="shared" si="1"/>
        <v>1159.9494174691285</v>
      </c>
      <c r="CN7" s="212">
        <f t="shared" si="2"/>
        <v>6.2200916612935586E-3</v>
      </c>
      <c r="CR7" s="248" t="s">
        <v>353</v>
      </c>
      <c r="CS7" s="255"/>
      <c r="CT7" s="255"/>
      <c r="CU7" s="255"/>
      <c r="CV7" s="255"/>
      <c r="CW7" s="255"/>
      <c r="CX7" s="255"/>
      <c r="CY7" s="255"/>
      <c r="CZ7" s="255"/>
      <c r="DA7" s="255"/>
      <c r="DB7" s="255"/>
      <c r="DC7" s="255"/>
      <c r="DD7" s="255"/>
      <c r="DE7" s="255"/>
      <c r="DF7" s="255"/>
      <c r="DG7" s="255"/>
      <c r="DH7" s="255"/>
      <c r="DI7" s="255"/>
      <c r="DJ7" s="255"/>
      <c r="DK7" s="255"/>
      <c r="DL7" s="255"/>
      <c r="DM7" s="255"/>
      <c r="DN7" s="255"/>
      <c r="DO7" s="255"/>
      <c r="DP7" s="255"/>
      <c r="DQ7" s="255"/>
      <c r="DR7" s="255"/>
      <c r="DS7" s="255"/>
      <c r="DT7" s="255"/>
      <c r="DU7" s="256"/>
      <c r="DW7" s="95">
        <f t="shared" ref="DW7:EB7" si="5">SUM(DM63:DM68)</f>
        <v>627880</v>
      </c>
      <c r="DX7" s="95">
        <f t="shared" si="5"/>
        <v>651750</v>
      </c>
      <c r="DY7" s="95">
        <f t="shared" si="5"/>
        <v>675740</v>
      </c>
      <c r="DZ7" s="95">
        <f t="shared" si="5"/>
        <v>701890</v>
      </c>
      <c r="EA7" s="95">
        <f t="shared" si="5"/>
        <v>726880</v>
      </c>
      <c r="EB7" s="95">
        <f t="shared" si="5"/>
        <v>752750</v>
      </c>
      <c r="EC7" s="89">
        <f>EB7/DW7-1</f>
        <v>0.19887558132127148</v>
      </c>
      <c r="ED7" s="116"/>
      <c r="EE7" s="231">
        <v>2012</v>
      </c>
      <c r="EF7" s="116"/>
      <c r="EG7" s="240"/>
    </row>
    <row r="8" spans="1:137" ht="15" customHeight="1">
      <c r="C8" s="251" t="s">
        <v>354</v>
      </c>
      <c r="D8" s="257">
        <v>1.635582248406825E-2</v>
      </c>
      <c r="E8" s="258">
        <v>1.4515443197100986E-2</v>
      </c>
      <c r="F8" s="244"/>
      <c r="G8" s="244"/>
      <c r="H8" s="244"/>
      <c r="I8" s="244"/>
      <c r="J8" s="244"/>
      <c r="K8" s="244"/>
      <c r="L8" s="244"/>
      <c r="M8" s="244"/>
      <c r="N8" s="244"/>
      <c r="O8" s="245"/>
      <c r="Q8" s="251" t="s">
        <v>354</v>
      </c>
      <c r="R8" s="259">
        <f>D8</f>
        <v>1.635582248406825E-2</v>
      </c>
      <c r="S8" s="259">
        <f>E8</f>
        <v>1.4515443197100986E-2</v>
      </c>
      <c r="T8" s="260">
        <f>S8-R8</f>
        <v>-1.8403792869672638E-3</v>
      </c>
      <c r="V8" s="261">
        <v>2006</v>
      </c>
      <c r="W8" s="113">
        <f>E8</f>
        <v>1.4515443197100986E-2</v>
      </c>
      <c r="Y8" s="117" t="s">
        <v>355</v>
      </c>
      <c r="Z8" s="254">
        <f>'[6]1. Demo - DHB Devolved'!D9</f>
        <v>1.8954577879799483E-2</v>
      </c>
      <c r="AA8" s="254">
        <f>'[6]1. Demo - DHB Devolved'!E9</f>
        <v>2.5965108167148809E-2</v>
      </c>
      <c r="AB8" s="254">
        <f>'[6]1. Demo - DHB Devolved'!F9</f>
        <v>2.8267227157437791E-2</v>
      </c>
      <c r="AC8" s="254">
        <f>'[6]1. Demo - DHB Devolved'!G9</f>
        <v>2.7466494784079032E-2</v>
      </c>
      <c r="AD8" s="254">
        <f>'[6]1. Demo - DHB Devolved'!H9</f>
        <v>2.6901547130531611E-2</v>
      </c>
      <c r="AE8" s="254">
        <f>'[6]1. Demo - DHB Devolved'!I9</f>
        <v>2.3308692476415871E-2</v>
      </c>
      <c r="AF8" s="254">
        <f>'[6]1. Demo - DHB Devolved'!J9</f>
        <v>2.2494502730001864E-2</v>
      </c>
      <c r="AG8" s="254">
        <f>'[6]1. Demo - DHB Devolved'!K9</f>
        <v>1.8896803884721702E-2</v>
      </c>
      <c r="AH8" s="254">
        <f>'[6]1. Demo - DHB Devolved'!L9</f>
        <v>1.8429648065529047E-2</v>
      </c>
      <c r="AI8" s="254">
        <f>'[6]1. Demo - DHB Devolved'!M9</f>
        <v>1.8973886030972498E-2</v>
      </c>
      <c r="AJ8" s="254">
        <f>'[6]1. Demo - DHB Devolved'!N9</f>
        <v>1.9588609486467456E-2</v>
      </c>
      <c r="AK8" s="254">
        <f>'[6]1. Demo - DHB Devolved'!O9</f>
        <v>2.008064033256618E-2</v>
      </c>
      <c r="AL8" s="254">
        <f>'[6]1. Demo - DHB Devolved'!P9</f>
        <v>2.1568439626697966E-2</v>
      </c>
      <c r="AM8" s="254">
        <f>'[6]1. Demo - DHB Devolved'!Q9</f>
        <v>1.9414318888245408E-2</v>
      </c>
      <c r="AN8" s="254">
        <f>'[6]1. Demo - DHB Devolved'!R9</f>
        <v>1.8462528762421382E-2</v>
      </c>
      <c r="AO8" s="254">
        <f>'[6]1. Demo - DHB Devolved'!S9</f>
        <v>1.8711600574568665E-2</v>
      </c>
      <c r="AP8" s="254">
        <f>'[6]1. Demo - DHB Devolved'!T9</f>
        <v>1.8394449135123336E-2</v>
      </c>
      <c r="AQ8" s="254">
        <f>'[6]1. Demo - DHB Devolved'!U9</f>
        <v>1.9992857710517953E-2</v>
      </c>
      <c r="AR8" s="254">
        <f>'[6]1. Demo - DHB Devolved'!V9</f>
        <v>1.8476125719822267E-2</v>
      </c>
      <c r="AU8" s="248" t="s">
        <v>356</v>
      </c>
      <c r="AV8" s="95">
        <v>15861</v>
      </c>
      <c r="AX8" s="95">
        <v>15720</v>
      </c>
      <c r="AY8">
        <v>2019</v>
      </c>
      <c r="AZ8" s="49">
        <f t="array" ref="AZ8:AZ22">TRANSPOSE([7]Births!$C$30:$Q$30)</f>
        <v>61400</v>
      </c>
      <c r="BA8" s="56">
        <f t="shared" ref="BA8:BA22" si="6">AZ8/AZ7-1</f>
        <v>9.8019867114005343E-3</v>
      </c>
      <c r="BC8">
        <v>2011</v>
      </c>
      <c r="BD8" s="89">
        <f t="shared" si="3"/>
        <v>-2.3233121137493651E-2</v>
      </c>
      <c r="BF8" s="248" t="s">
        <v>339</v>
      </c>
      <c r="BG8" s="95">
        <v>64410</v>
      </c>
      <c r="BH8" s="95">
        <v>61900</v>
      </c>
      <c r="BI8" s="95">
        <v>59040</v>
      </c>
      <c r="BJ8" s="95">
        <v>57640</v>
      </c>
      <c r="BK8" s="95">
        <v>58050</v>
      </c>
      <c r="BL8" s="95">
        <v>56710</v>
      </c>
      <c r="BM8" s="95">
        <v>56630</v>
      </c>
      <c r="BN8" s="95">
        <v>58940</v>
      </c>
      <c r="BO8" s="95">
        <v>60200</v>
      </c>
      <c r="BP8" s="95">
        <v>58480</v>
      </c>
      <c r="BQ8" s="95">
        <v>59560</v>
      </c>
      <c r="BR8" s="95">
        <v>59600</v>
      </c>
      <c r="BS8" s="95">
        <v>60970</v>
      </c>
      <c r="BT8" s="95">
        <v>61740</v>
      </c>
      <c r="BU8" s="95">
        <v>61670</v>
      </c>
      <c r="BV8" s="95">
        <v>62970</v>
      </c>
      <c r="BW8" s="95">
        <v>63450</v>
      </c>
      <c r="BX8" s="95">
        <v>65490</v>
      </c>
      <c r="BY8" s="95">
        <v>63510</v>
      </c>
      <c r="BZ8" s="95">
        <v>61610</v>
      </c>
      <c r="CA8" s="95">
        <v>1212600</v>
      </c>
      <c r="CB8" s="89">
        <f>CA8/CA7-1</f>
        <v>4.2236024844719555E-3</v>
      </c>
      <c r="CC8" s="95"/>
      <c r="CD8">
        <v>2015</v>
      </c>
      <c r="CE8" s="95">
        <f>SUM([5]Total!$D1871:$W1871)</f>
        <v>1230520</v>
      </c>
      <c r="CF8" s="89">
        <f t="shared" ref="CF8:CF36" si="7">CE8/CE7-1</f>
        <v>5.7211978553681764E-3</v>
      </c>
      <c r="CH8">
        <v>2010</v>
      </c>
      <c r="CI8" s="197">
        <f t="shared" si="4"/>
        <v>5.828271219832537E-3</v>
      </c>
      <c r="CL8">
        <v>2008</v>
      </c>
      <c r="CM8" s="249">
        <f t="shared" si="1"/>
        <v>1165.6103067242461</v>
      </c>
      <c r="CN8" s="212">
        <f t="shared" si="2"/>
        <v>4.8802897521762478E-3</v>
      </c>
      <c r="CR8" s="248" t="s">
        <v>357</v>
      </c>
      <c r="CS8" s="95">
        <v>147100</v>
      </c>
      <c r="CT8" s="95">
        <v>150340</v>
      </c>
      <c r="CU8" s="95">
        <v>151730</v>
      </c>
      <c r="CV8" s="95">
        <v>152710</v>
      </c>
      <c r="CW8" s="95">
        <v>153100</v>
      </c>
      <c r="CX8" s="95">
        <v>152250</v>
      </c>
      <c r="CY8" s="95">
        <v>150390</v>
      </c>
      <c r="CZ8" s="95">
        <v>149130</v>
      </c>
      <c r="DA8" s="95">
        <v>146950</v>
      </c>
      <c r="DB8" s="95">
        <v>145700</v>
      </c>
      <c r="DC8" s="95">
        <v>143960</v>
      </c>
      <c r="DD8" s="95">
        <v>143870</v>
      </c>
      <c r="DE8" s="95">
        <v>144220</v>
      </c>
      <c r="DF8" s="95">
        <v>145460</v>
      </c>
      <c r="DG8" s="95">
        <v>145370</v>
      </c>
      <c r="DH8" s="95">
        <v>146210</v>
      </c>
      <c r="DI8" s="95">
        <v>150200</v>
      </c>
      <c r="DJ8" s="95">
        <v>154290</v>
      </c>
      <c r="DK8" s="95">
        <v>157790</v>
      </c>
      <c r="DL8" s="95">
        <v>161370</v>
      </c>
      <c r="DM8" s="95">
        <v>163020</v>
      </c>
      <c r="DN8" s="95">
        <v>162090</v>
      </c>
      <c r="DO8" s="95">
        <v>160150</v>
      </c>
      <c r="DP8" s="95">
        <v>158360</v>
      </c>
      <c r="DQ8" s="95">
        <v>156870</v>
      </c>
      <c r="DR8" s="95">
        <v>156690</v>
      </c>
      <c r="DS8" s="95">
        <v>157080</v>
      </c>
      <c r="DT8" s="95">
        <v>157400</v>
      </c>
      <c r="DU8" s="232"/>
      <c r="DX8" s="89">
        <f>DX7/DW7-1</f>
        <v>3.8016818500350436E-2</v>
      </c>
      <c r="DY8" s="89">
        <f>DY7/DX7-1</f>
        <v>3.6808592251630134E-2</v>
      </c>
      <c r="DZ8" s="89">
        <f>DZ7/DY7-1</f>
        <v>3.8698315920324466E-2</v>
      </c>
      <c r="EA8" s="89">
        <f>EA7/DZ7-1</f>
        <v>3.5603869552208955E-2</v>
      </c>
      <c r="EB8" s="89">
        <f>EB7/EA7-1</f>
        <v>3.5590468853180734E-2</v>
      </c>
      <c r="ED8" s="116"/>
      <c r="EE8" s="116">
        <v>2013</v>
      </c>
      <c r="EF8" s="262"/>
      <c r="EG8" s="240"/>
    </row>
    <row r="9" spans="1:137" ht="15" customHeight="1">
      <c r="C9" s="263" t="s">
        <v>358</v>
      </c>
      <c r="D9" s="252">
        <v>1.6648155469635162E-2</v>
      </c>
      <c r="E9" s="264">
        <v>1.4806022023062535E-2</v>
      </c>
      <c r="F9" s="265">
        <v>1.7331461973023592E-2</v>
      </c>
      <c r="G9" s="244"/>
      <c r="H9" s="244"/>
      <c r="I9" s="244"/>
      <c r="J9" s="244"/>
      <c r="K9" s="244"/>
      <c r="L9" s="244"/>
      <c r="M9" s="244"/>
      <c r="N9" s="244"/>
      <c r="O9" s="245"/>
      <c r="Q9" s="263" t="s">
        <v>358</v>
      </c>
      <c r="R9" s="259">
        <f>E9</f>
        <v>1.4806022023062535E-2</v>
      </c>
      <c r="S9" s="259">
        <f>F9</f>
        <v>1.7331461973023592E-2</v>
      </c>
      <c r="T9" s="260">
        <f t="shared" ref="T9:T17" si="8">S9-R9</f>
        <v>2.5254399499610568E-3</v>
      </c>
      <c r="V9" s="266">
        <v>2007</v>
      </c>
      <c r="W9" s="113">
        <f>F9</f>
        <v>1.7331461973023592E-2</v>
      </c>
      <c r="Y9" s="117" t="s">
        <v>359</v>
      </c>
      <c r="Z9" s="254">
        <f>'[6]1. Demo - DHB Devolved'!D10</f>
        <v>2.485707170430973E-2</v>
      </c>
      <c r="AA9" s="254">
        <f>'[6]1. Demo - DHB Devolved'!E10</f>
        <v>2.7349961698858838E-2</v>
      </c>
      <c r="AB9" s="254">
        <f>'[6]1. Demo - DHB Devolved'!F10</f>
        <v>2.8158645055411879E-2</v>
      </c>
      <c r="AC9" s="254">
        <f>'[6]1. Demo - DHB Devolved'!G10</f>
        <v>2.6979877134458041E-2</v>
      </c>
      <c r="AD9" s="254">
        <f>'[6]1. Demo - DHB Devolved'!H10</f>
        <v>2.554823028288089E-2</v>
      </c>
      <c r="AE9" s="254">
        <f>'[6]1. Demo - DHB Devolved'!I10</f>
        <v>2.3926894920756281E-2</v>
      </c>
      <c r="AF9" s="254">
        <f>'[6]1. Demo - DHB Devolved'!J10</f>
        <v>2.3023824172456298E-2</v>
      </c>
      <c r="AG9" s="254">
        <f>'[6]1. Demo - DHB Devolved'!K10</f>
        <v>2.1249090098022005E-2</v>
      </c>
      <c r="AH9" s="254">
        <f>'[6]1. Demo - DHB Devolved'!L10</f>
        <v>1.9309863553958584E-2</v>
      </c>
      <c r="AI9" s="254">
        <f>'[6]1. Demo - DHB Devolved'!M10</f>
        <v>1.8647024750312768E-2</v>
      </c>
      <c r="AJ9" s="254">
        <f>'[6]1. Demo - DHB Devolved'!N10</f>
        <v>1.9999615387828129E-2</v>
      </c>
      <c r="AK9" s="254">
        <f>'[6]1. Demo - DHB Devolved'!O10</f>
        <v>2.1401550023461891E-2</v>
      </c>
      <c r="AL9" s="254">
        <f>'[6]1. Demo - DHB Devolved'!P10</f>
        <v>2.2445822054150133E-2</v>
      </c>
      <c r="AM9" s="254">
        <f>'[6]1. Demo - DHB Devolved'!Q10</f>
        <v>2.1007849189923711E-2</v>
      </c>
      <c r="AN9" s="254">
        <f>'[6]1. Demo - DHB Devolved'!R10</f>
        <v>1.9285884143341425E-2</v>
      </c>
      <c r="AO9" s="254">
        <f>'[6]1. Demo - DHB Devolved'!S10</f>
        <v>1.9944086991167564E-2</v>
      </c>
      <c r="AP9" s="254">
        <f>'[6]1. Demo - DHB Devolved'!T10</f>
        <v>2.0960828477118776E-2</v>
      </c>
      <c r="AQ9" s="254">
        <f>'[6]1. Demo - DHB Devolved'!U10</f>
        <v>2.176802249193055E-2</v>
      </c>
      <c r="AR9" s="254">
        <f>'[6]1. Demo - DHB Devolved'!V10</f>
        <v>2.0479497756547893E-2</v>
      </c>
      <c r="AU9" s="248" t="s">
        <v>360</v>
      </c>
      <c r="AV9" s="95">
        <v>16137</v>
      </c>
      <c r="AX9" s="95">
        <v>16032</v>
      </c>
      <c r="AY9">
        <v>2020</v>
      </c>
      <c r="AZ9" s="49">
        <v>62000</v>
      </c>
      <c r="BA9" s="56">
        <f t="shared" si="6"/>
        <v>9.7719869706840434E-3</v>
      </c>
      <c r="BC9">
        <v>2012</v>
      </c>
      <c r="BD9" s="89">
        <f t="shared" si="3"/>
        <v>-2.5974025974025983E-2</v>
      </c>
      <c r="BF9" s="248" t="s">
        <v>340</v>
      </c>
      <c r="BG9" s="95">
        <v>63900</v>
      </c>
      <c r="BH9" s="95">
        <v>64240</v>
      </c>
      <c r="BI9" s="95">
        <v>62020</v>
      </c>
      <c r="BJ9" s="95">
        <v>59190</v>
      </c>
      <c r="BK9" s="95">
        <v>57860</v>
      </c>
      <c r="BL9" s="95">
        <v>58280</v>
      </c>
      <c r="BM9" s="95">
        <v>56980</v>
      </c>
      <c r="BN9" s="95">
        <v>56880</v>
      </c>
      <c r="BO9" s="95">
        <v>59320</v>
      </c>
      <c r="BP9" s="95">
        <v>60630</v>
      </c>
      <c r="BQ9" s="95">
        <v>58870</v>
      </c>
      <c r="BR9" s="95">
        <v>59960</v>
      </c>
      <c r="BS9" s="95">
        <v>59990</v>
      </c>
      <c r="BT9" s="95">
        <v>61230</v>
      </c>
      <c r="BU9" s="95">
        <v>61810</v>
      </c>
      <c r="BV9" s="95">
        <v>61710</v>
      </c>
      <c r="BW9" s="95">
        <v>63130</v>
      </c>
      <c r="BX9" s="95">
        <v>63620</v>
      </c>
      <c r="BY9" s="95">
        <v>64960</v>
      </c>
      <c r="BZ9" s="95">
        <v>63600</v>
      </c>
      <c r="CA9" s="95">
        <v>1218200</v>
      </c>
      <c r="CB9" s="89">
        <f t="shared" ref="CB9:CB16" si="9">CA9/CA8-1</f>
        <v>4.6181758205507961E-3</v>
      </c>
      <c r="CC9" s="95"/>
      <c r="CD9">
        <v>2016</v>
      </c>
      <c r="CE9" s="95">
        <f>SUM([5]Total!$D1872:$W1872)</f>
        <v>1239710</v>
      </c>
      <c r="CF9" s="89">
        <f t="shared" si="7"/>
        <v>7.4683873484380214E-3</v>
      </c>
      <c r="CH9">
        <v>2011</v>
      </c>
      <c r="CI9" s="197">
        <f t="shared" si="4"/>
        <v>-8.1612666285812985E-5</v>
      </c>
      <c r="CL9">
        <v>2009</v>
      </c>
      <c r="CM9" s="249">
        <f t="shared" si="1"/>
        <v>1173.2903768405013</v>
      </c>
      <c r="CN9" s="212">
        <f t="shared" si="2"/>
        <v>6.588883155845604E-3</v>
      </c>
      <c r="CR9" s="248" t="s">
        <v>361</v>
      </c>
      <c r="CS9" s="95">
        <v>133280</v>
      </c>
      <c r="CT9" s="95">
        <v>134460</v>
      </c>
      <c r="CU9" s="95">
        <v>137710</v>
      </c>
      <c r="CV9" s="95">
        <v>141130</v>
      </c>
      <c r="CW9" s="95">
        <v>145790</v>
      </c>
      <c r="CX9" s="95">
        <v>151730</v>
      </c>
      <c r="CY9" s="95">
        <v>155920</v>
      </c>
      <c r="CZ9" s="95">
        <v>157350</v>
      </c>
      <c r="DA9" s="95">
        <v>157110</v>
      </c>
      <c r="DB9" s="95">
        <v>155540</v>
      </c>
      <c r="DC9" s="95">
        <v>152670</v>
      </c>
      <c r="DD9" s="95">
        <v>151470</v>
      </c>
      <c r="DE9" s="95">
        <v>151510</v>
      </c>
      <c r="DF9" s="95">
        <v>150620</v>
      </c>
      <c r="DG9" s="95">
        <v>149890</v>
      </c>
      <c r="DH9" s="95">
        <v>149230</v>
      </c>
      <c r="DI9" s="95">
        <v>149210</v>
      </c>
      <c r="DJ9" s="95">
        <v>148990</v>
      </c>
      <c r="DK9" s="95">
        <v>149410</v>
      </c>
      <c r="DL9" s="95">
        <v>148790</v>
      </c>
      <c r="DM9" s="95">
        <v>148500</v>
      </c>
      <c r="DN9" s="95">
        <v>150520</v>
      </c>
      <c r="DO9" s="95">
        <v>153570</v>
      </c>
      <c r="DP9" s="95">
        <v>157230</v>
      </c>
      <c r="DQ9" s="95">
        <v>161780</v>
      </c>
      <c r="DR9" s="95">
        <v>165580</v>
      </c>
      <c r="DS9" s="95">
        <v>167580</v>
      </c>
      <c r="DT9" s="95">
        <v>167910</v>
      </c>
      <c r="DU9" s="232"/>
      <c r="ED9" s="151"/>
      <c r="EE9" s="231">
        <v>2014</v>
      </c>
      <c r="EF9" s="250">
        <f t="array" ref="EF9:EF28">TRANSPOSE('[6]1. Demo - DHB Devolved'!$C$35:$W$35)</f>
        <v>1785.1280512903811</v>
      </c>
      <c r="EG9" s="240"/>
    </row>
    <row r="10" spans="1:137" ht="15" customHeight="1">
      <c r="C10" s="263" t="s">
        <v>362</v>
      </c>
      <c r="D10" s="252">
        <v>1.662219947749026E-2</v>
      </c>
      <c r="E10" s="258">
        <v>1.4948448399457474E-2</v>
      </c>
      <c r="F10" s="267">
        <v>1.7034773420574356E-2</v>
      </c>
      <c r="G10" s="268">
        <v>1.8366779037813023E-2</v>
      </c>
      <c r="H10" s="268">
        <v>1.6898760929682861E-2</v>
      </c>
      <c r="I10" s="268">
        <v>1.6785516677153171E-2</v>
      </c>
      <c r="J10" s="268">
        <v>1.6575244919680449E-2</v>
      </c>
      <c r="K10" s="268">
        <v>1.7055788389017987E-2</v>
      </c>
      <c r="L10" s="268">
        <v>1.6686555635987154E-2</v>
      </c>
      <c r="M10" s="268">
        <v>1.6082712289239718E-2</v>
      </c>
      <c r="N10" s="244"/>
      <c r="O10" s="245"/>
      <c r="Q10" s="263" t="s">
        <v>362</v>
      </c>
      <c r="R10" s="259">
        <f>F10</f>
        <v>1.7034773420574356E-2</v>
      </c>
      <c r="S10" s="259">
        <f>G10</f>
        <v>1.8366779037813023E-2</v>
      </c>
      <c r="T10" s="260">
        <f t="shared" si="8"/>
        <v>1.3320056172386671E-3</v>
      </c>
      <c r="V10" s="261">
        <v>2008</v>
      </c>
      <c r="W10" s="113">
        <f t="shared" ref="W10:W16" si="10">M10</f>
        <v>1.6082712289239718E-2</v>
      </c>
      <c r="Y10" s="117" t="s">
        <v>363</v>
      </c>
      <c r="Z10" s="254">
        <f>'[6]1. Demo - DHB Devolved'!D11</f>
        <v>1.8175196136836602E-2</v>
      </c>
      <c r="AA10" s="254">
        <f>'[6]1. Demo - DHB Devolved'!E11</f>
        <v>2.2188498229363196E-2</v>
      </c>
      <c r="AB10" s="254">
        <f>'[6]1. Demo - DHB Devolved'!F11</f>
        <v>2.5190176532459807E-2</v>
      </c>
      <c r="AC10" s="254">
        <f>'[6]1. Demo - DHB Devolved'!G11</f>
        <v>2.5223892996442121E-2</v>
      </c>
      <c r="AD10" s="254">
        <f>'[6]1. Demo - DHB Devolved'!H11</f>
        <v>2.2789770685257782E-2</v>
      </c>
      <c r="AE10" s="254">
        <f>'[6]1. Demo - DHB Devolved'!I11</f>
        <v>2.0574093323751486E-2</v>
      </c>
      <c r="AF10" s="254">
        <f>'[6]1. Demo - DHB Devolved'!J11</f>
        <v>2.0077205973204615E-2</v>
      </c>
      <c r="AG10" s="254">
        <f>'[6]1. Demo - DHB Devolved'!K11</f>
        <v>1.8678939455754051E-2</v>
      </c>
      <c r="AH10" s="254">
        <f>'[6]1. Demo - DHB Devolved'!L11</f>
        <v>1.7768580757604013E-2</v>
      </c>
      <c r="AI10" s="254">
        <f>'[6]1. Demo - DHB Devolved'!M11</f>
        <v>1.7006205722730927E-2</v>
      </c>
      <c r="AJ10" s="254">
        <f>'[6]1. Demo - DHB Devolved'!N11</f>
        <v>1.8393155392086635E-2</v>
      </c>
      <c r="AK10" s="254">
        <f>'[6]1. Demo - DHB Devolved'!O11</f>
        <v>1.8047974439979297E-2</v>
      </c>
      <c r="AL10" s="254">
        <f>'[6]1. Demo - DHB Devolved'!P11</f>
        <v>1.9913222329271507E-2</v>
      </c>
      <c r="AM10" s="254">
        <f>'[6]1. Demo - DHB Devolved'!Q11</f>
        <v>1.7975089743889061E-2</v>
      </c>
      <c r="AN10" s="254">
        <f>'[6]1. Demo - DHB Devolved'!R11</f>
        <v>1.8447211579421419E-2</v>
      </c>
      <c r="AO10" s="254">
        <f>'[6]1. Demo - DHB Devolved'!S11</f>
        <v>1.7963882556564226E-2</v>
      </c>
      <c r="AP10" s="254">
        <f>'[6]1. Demo - DHB Devolved'!T11</f>
        <v>1.8396117274107393E-2</v>
      </c>
      <c r="AQ10" s="254">
        <f>'[6]1. Demo - DHB Devolved'!U11</f>
        <v>1.8997854967558014E-2</v>
      </c>
      <c r="AR10" s="254">
        <f>'[6]1. Demo - DHB Devolved'!V11</f>
        <v>1.8811194491495487E-2</v>
      </c>
      <c r="AU10" s="248" t="s">
        <v>364</v>
      </c>
      <c r="AV10" s="95">
        <v>15885</v>
      </c>
      <c r="AW10" s="89"/>
      <c r="AX10" s="95">
        <v>15744</v>
      </c>
      <c r="AY10">
        <v>2021</v>
      </c>
      <c r="AZ10" s="49">
        <v>62500</v>
      </c>
      <c r="BA10" s="56">
        <f t="shared" si="6"/>
        <v>8.0645161290322509E-3</v>
      </c>
      <c r="BC10">
        <v>2013</v>
      </c>
      <c r="BD10" s="89">
        <f t="shared" si="3"/>
        <v>-1.9291819291819334E-2</v>
      </c>
      <c r="BF10" s="248" t="s">
        <v>341</v>
      </c>
      <c r="BG10" s="95">
        <v>64540</v>
      </c>
      <c r="BH10" s="95">
        <v>63950</v>
      </c>
      <c r="BI10" s="95">
        <v>64400</v>
      </c>
      <c r="BJ10" s="95">
        <v>62140</v>
      </c>
      <c r="BK10" s="95">
        <v>59310</v>
      </c>
      <c r="BL10" s="95">
        <v>58080</v>
      </c>
      <c r="BM10" s="95">
        <v>58510</v>
      </c>
      <c r="BN10" s="95">
        <v>57190</v>
      </c>
      <c r="BO10" s="95">
        <v>57240</v>
      </c>
      <c r="BP10" s="95">
        <v>59760</v>
      </c>
      <c r="BQ10" s="95">
        <v>61130</v>
      </c>
      <c r="BR10" s="95">
        <v>59310</v>
      </c>
      <c r="BS10" s="95">
        <v>60500</v>
      </c>
      <c r="BT10" s="95">
        <v>60430</v>
      </c>
      <c r="BU10" s="95">
        <v>61630</v>
      </c>
      <c r="BV10" s="95">
        <v>62210</v>
      </c>
      <c r="BW10" s="95">
        <v>62230</v>
      </c>
      <c r="BX10" s="95">
        <v>63630</v>
      </c>
      <c r="BY10" s="95">
        <v>63520</v>
      </c>
      <c r="BZ10" s="95">
        <v>65540</v>
      </c>
      <c r="CA10" s="95">
        <v>1225300</v>
      </c>
      <c r="CB10" s="89">
        <f t="shared" si="9"/>
        <v>5.828271219832537E-3</v>
      </c>
      <c r="CC10" s="95"/>
      <c r="CD10">
        <v>2017</v>
      </c>
      <c r="CE10" s="95">
        <f>SUM([5]Total!$D1873:$W1873)</f>
        <v>1250640</v>
      </c>
      <c r="CF10" s="89">
        <f t="shared" si="7"/>
        <v>8.8165780706779273E-3</v>
      </c>
      <c r="CH10">
        <v>2012</v>
      </c>
      <c r="CI10" s="197">
        <f t="shared" si="4"/>
        <v>-2.0404831864185846E-3</v>
      </c>
      <c r="CL10">
        <v>2010</v>
      </c>
      <c r="CM10" s="249">
        <f t="shared" si="1"/>
        <v>1182.2014989189247</v>
      </c>
      <c r="CN10" s="212">
        <f t="shared" si="2"/>
        <v>7.5949843741323075E-3</v>
      </c>
      <c r="CR10" s="248" t="s">
        <v>365</v>
      </c>
      <c r="CS10" s="95">
        <v>132470</v>
      </c>
      <c r="CT10" s="95">
        <v>132320</v>
      </c>
      <c r="CU10" s="95">
        <v>133510</v>
      </c>
      <c r="CV10" s="95">
        <v>135080</v>
      </c>
      <c r="CW10" s="95">
        <v>136530</v>
      </c>
      <c r="CX10" s="95">
        <v>138210</v>
      </c>
      <c r="CY10" s="95">
        <v>140370</v>
      </c>
      <c r="CZ10" s="95">
        <v>143440</v>
      </c>
      <c r="DA10" s="95">
        <v>146400</v>
      </c>
      <c r="DB10" s="95">
        <v>149970</v>
      </c>
      <c r="DC10" s="95">
        <v>153770</v>
      </c>
      <c r="DD10" s="95">
        <v>157570</v>
      </c>
      <c r="DE10" s="95">
        <v>160540</v>
      </c>
      <c r="DF10" s="95">
        <v>161640</v>
      </c>
      <c r="DG10" s="95">
        <v>161070</v>
      </c>
      <c r="DH10" s="95">
        <v>159520</v>
      </c>
      <c r="DI10" s="95">
        <v>157000</v>
      </c>
      <c r="DJ10" s="95">
        <v>155530</v>
      </c>
      <c r="DK10" s="95">
        <v>154880</v>
      </c>
      <c r="DL10" s="95">
        <v>155590</v>
      </c>
      <c r="DM10" s="95">
        <v>155210</v>
      </c>
      <c r="DN10" s="95">
        <v>153890</v>
      </c>
      <c r="DO10" s="95">
        <v>152180</v>
      </c>
      <c r="DP10" s="95">
        <v>151460</v>
      </c>
      <c r="DQ10" s="95">
        <v>150090</v>
      </c>
      <c r="DR10" s="95">
        <v>150480</v>
      </c>
      <c r="DS10" s="95">
        <v>154320</v>
      </c>
      <c r="DT10" s="95">
        <v>159200</v>
      </c>
      <c r="DU10" s="232"/>
      <c r="ED10" s="151"/>
      <c r="EE10" s="116">
        <v>2015</v>
      </c>
      <c r="EF10" s="250">
        <v>1831.416294171526</v>
      </c>
      <c r="EG10" s="240">
        <f>EF10/EF9-1</f>
        <v>2.5929928582818063E-2</v>
      </c>
    </row>
    <row r="11" spans="1:137" ht="15" customHeight="1">
      <c r="C11" s="263" t="s">
        <v>366</v>
      </c>
      <c r="D11" s="269">
        <v>1.6090996696867154E-2</v>
      </c>
      <c r="E11" s="258">
        <v>1.466987922736584E-2</v>
      </c>
      <c r="F11" s="265">
        <v>1.6263022706648242E-2</v>
      </c>
      <c r="G11" s="270">
        <v>1.8057231754420495E-2</v>
      </c>
      <c r="H11" s="268">
        <v>1.6445897515889197E-2</v>
      </c>
      <c r="I11" s="268">
        <v>1.6485438364465296E-2</v>
      </c>
      <c r="J11" s="268">
        <v>1.6645760192515777E-2</v>
      </c>
      <c r="K11" s="268">
        <v>1.6678498044474677E-2</v>
      </c>
      <c r="L11" s="268">
        <v>1.6590794438640949E-2</v>
      </c>
      <c r="M11" s="268">
        <v>1.6072030852500148E-2</v>
      </c>
      <c r="N11" s="244"/>
      <c r="O11" s="245"/>
      <c r="Q11" s="263" t="s">
        <v>366</v>
      </c>
      <c r="R11" s="259">
        <f>G11</f>
        <v>1.8057231754420495E-2</v>
      </c>
      <c r="S11" s="259">
        <f>H11</f>
        <v>1.6445897515889197E-2</v>
      </c>
      <c r="T11" s="260">
        <f t="shared" si="8"/>
        <v>-1.6113342385312979E-3</v>
      </c>
      <c r="V11" s="266">
        <v>2009</v>
      </c>
      <c r="W11" s="113">
        <f t="shared" si="10"/>
        <v>1.6072030852500148E-2</v>
      </c>
      <c r="Y11" s="117" t="s">
        <v>367</v>
      </c>
      <c r="Z11" s="254">
        <f>'[6]1. Demo - DHB Devolved'!D12</f>
        <v>2.8972865160885819E-2</v>
      </c>
      <c r="AA11" s="254">
        <f>'[6]1. Demo - DHB Devolved'!E12</f>
        <v>2.9079144559986947E-2</v>
      </c>
      <c r="AB11" s="254">
        <f>'[6]1. Demo - DHB Devolved'!F12</f>
        <v>2.9618357577738896E-2</v>
      </c>
      <c r="AC11" s="254">
        <f>'[6]1. Demo - DHB Devolved'!G12</f>
        <v>2.9098421609171643E-2</v>
      </c>
      <c r="AD11" s="254">
        <f>'[6]1. Demo - DHB Devolved'!H12</f>
        <v>2.8205818211323175E-2</v>
      </c>
      <c r="AE11" s="254">
        <f>'[6]1. Demo - DHB Devolved'!I12</f>
        <v>2.8178896431134692E-2</v>
      </c>
      <c r="AF11" s="254">
        <f>'[6]1. Demo - DHB Devolved'!J12</f>
        <v>2.6585110635725995E-2</v>
      </c>
      <c r="AG11" s="254">
        <f>'[6]1. Demo - DHB Devolved'!K12</f>
        <v>2.4372028060851481E-2</v>
      </c>
      <c r="AH11" s="254">
        <f>'[6]1. Demo - DHB Devolved'!L12</f>
        <v>2.3330857564194618E-2</v>
      </c>
      <c r="AI11" s="254">
        <f>'[6]1. Demo - DHB Devolved'!M12</f>
        <v>2.3306296997434028E-2</v>
      </c>
      <c r="AJ11" s="254">
        <f>'[6]1. Demo - DHB Devolved'!N12</f>
        <v>2.3472975999333734E-2</v>
      </c>
      <c r="AK11" s="254">
        <f>'[6]1. Demo - DHB Devolved'!O12</f>
        <v>2.3427095089914474E-2</v>
      </c>
      <c r="AL11" s="254">
        <f>'[6]1. Demo - DHB Devolved'!P12</f>
        <v>2.3442440613308468E-2</v>
      </c>
      <c r="AM11" s="254">
        <f>'[6]1. Demo - DHB Devolved'!Q12</f>
        <v>2.2597367154859382E-2</v>
      </c>
      <c r="AN11" s="254">
        <f>'[6]1. Demo - DHB Devolved'!R12</f>
        <v>2.1905023303895765E-2</v>
      </c>
      <c r="AO11" s="254">
        <f>'[6]1. Demo - DHB Devolved'!S12</f>
        <v>2.1754945537429959E-2</v>
      </c>
      <c r="AP11" s="254">
        <f>'[6]1. Demo - DHB Devolved'!T12</f>
        <v>2.1663114643586834E-2</v>
      </c>
      <c r="AQ11" s="254">
        <f>'[6]1. Demo - DHB Devolved'!U12</f>
        <v>2.2054493636977535E-2</v>
      </c>
      <c r="AR11" s="254">
        <f>'[6]1. Demo - DHB Devolved'!V12</f>
        <v>2.152108877271397E-2</v>
      </c>
      <c r="AU11" s="248" t="s">
        <v>368</v>
      </c>
      <c r="AV11" s="95">
        <v>16767</v>
      </c>
      <c r="AW11" s="89"/>
      <c r="AX11" s="95">
        <v>16650</v>
      </c>
      <c r="AY11">
        <v>2022</v>
      </c>
      <c r="AZ11" s="49">
        <v>62900</v>
      </c>
      <c r="BA11" s="56">
        <f t="shared" si="6"/>
        <v>6.3999999999999613E-3</v>
      </c>
      <c r="BC11">
        <v>2014</v>
      </c>
      <c r="BD11" s="89">
        <f t="shared" si="3"/>
        <v>-2.1215139442231079E-2</v>
      </c>
      <c r="BF11" s="248" t="s">
        <v>342</v>
      </c>
      <c r="BG11" s="95">
        <v>62800</v>
      </c>
      <c r="BH11" s="95">
        <v>64520</v>
      </c>
      <c r="BI11" s="95">
        <v>63840</v>
      </c>
      <c r="BJ11" s="95">
        <v>64240</v>
      </c>
      <c r="BK11" s="95">
        <v>62060</v>
      </c>
      <c r="BL11" s="95">
        <v>59290</v>
      </c>
      <c r="BM11" s="95">
        <v>58020</v>
      </c>
      <c r="BN11" s="95">
        <v>58510</v>
      </c>
      <c r="BO11" s="95">
        <v>57320</v>
      </c>
      <c r="BP11" s="95">
        <v>57430</v>
      </c>
      <c r="BQ11" s="95">
        <v>60030</v>
      </c>
      <c r="BR11" s="95">
        <v>61370</v>
      </c>
      <c r="BS11" s="95">
        <v>59590</v>
      </c>
      <c r="BT11" s="95">
        <v>60830</v>
      </c>
      <c r="BU11" s="95">
        <v>60850</v>
      </c>
      <c r="BV11" s="95">
        <v>61890</v>
      </c>
      <c r="BW11" s="95">
        <v>62720</v>
      </c>
      <c r="BX11" s="95">
        <v>62630</v>
      </c>
      <c r="BY11" s="95">
        <v>63390</v>
      </c>
      <c r="BZ11" s="95">
        <v>63930</v>
      </c>
      <c r="CA11" s="95">
        <v>1225200</v>
      </c>
      <c r="CB11" s="89">
        <f t="shared" si="9"/>
        <v>-8.1612666285812985E-5</v>
      </c>
      <c r="CC11" s="95"/>
      <c r="CD11">
        <v>2018</v>
      </c>
      <c r="CE11" s="95">
        <f>SUM([5]Total!$D1874:$W1874)</f>
        <v>1258740</v>
      </c>
      <c r="CF11" s="89">
        <f t="shared" si="7"/>
        <v>6.4766839378238572E-3</v>
      </c>
      <c r="CH11">
        <v>2013</v>
      </c>
      <c r="CI11" s="197">
        <f t="shared" si="4"/>
        <v>-1.2267931626728235E-3</v>
      </c>
      <c r="CL11">
        <v>2011</v>
      </c>
      <c r="CM11" s="249">
        <f t="shared" si="1"/>
        <v>1186.8345762193942</v>
      </c>
      <c r="CN11" s="212">
        <f t="shared" si="2"/>
        <v>3.9190250602001431E-3</v>
      </c>
      <c r="CR11" s="248" t="s">
        <v>369</v>
      </c>
      <c r="CS11" s="95">
        <v>144050</v>
      </c>
      <c r="CT11" s="95">
        <v>140860</v>
      </c>
      <c r="CU11" s="95">
        <v>137500</v>
      </c>
      <c r="CV11" s="95">
        <v>135870</v>
      </c>
      <c r="CW11" s="95">
        <v>136410</v>
      </c>
      <c r="CX11" s="95">
        <v>138180</v>
      </c>
      <c r="CY11" s="95">
        <v>138200</v>
      </c>
      <c r="CZ11" s="95">
        <v>138280</v>
      </c>
      <c r="DA11" s="95">
        <v>138370</v>
      </c>
      <c r="DB11" s="95">
        <v>139320</v>
      </c>
      <c r="DC11" s="95">
        <v>141480</v>
      </c>
      <c r="DD11" s="95">
        <v>146290</v>
      </c>
      <c r="DE11" s="95">
        <v>150230</v>
      </c>
      <c r="DF11" s="95">
        <v>152590</v>
      </c>
      <c r="DG11" s="95">
        <v>155260</v>
      </c>
      <c r="DH11" s="95">
        <v>159400</v>
      </c>
      <c r="DI11" s="95">
        <v>160300</v>
      </c>
      <c r="DJ11" s="95">
        <v>160500</v>
      </c>
      <c r="DK11" s="95">
        <v>160290</v>
      </c>
      <c r="DL11" s="95">
        <v>160860</v>
      </c>
      <c r="DM11" s="95">
        <v>160330</v>
      </c>
      <c r="DN11" s="95">
        <v>159840</v>
      </c>
      <c r="DO11" s="95">
        <v>160150</v>
      </c>
      <c r="DP11" s="95">
        <v>161440</v>
      </c>
      <c r="DQ11" s="95">
        <v>163470</v>
      </c>
      <c r="DR11" s="95">
        <v>163850</v>
      </c>
      <c r="DS11" s="95">
        <v>162480</v>
      </c>
      <c r="DT11" s="95">
        <v>161060</v>
      </c>
      <c r="DU11" s="232"/>
      <c r="ED11" s="116"/>
      <c r="EE11" s="231">
        <v>2016</v>
      </c>
      <c r="EF11" s="250">
        <v>1882.0325033735578</v>
      </c>
      <c r="EG11" s="240">
        <f t="shared" ref="EG11:EG28" si="11">EF11/EF10-1</f>
        <v>2.7637741000294591E-2</v>
      </c>
    </row>
    <row r="12" spans="1:137" ht="15" customHeight="1">
      <c r="C12" s="263" t="s">
        <v>370</v>
      </c>
      <c r="D12" s="269">
        <v>1.6449000941279813E-2</v>
      </c>
      <c r="E12" s="258">
        <v>1.5271584756153833E-2</v>
      </c>
      <c r="F12" s="265">
        <v>1.664169748979891E-2</v>
      </c>
      <c r="G12" s="268">
        <v>1.795024527072336E-2</v>
      </c>
      <c r="H12" s="270">
        <v>1.6783540546935011E-2</v>
      </c>
      <c r="I12" s="268">
        <v>1.8399436351628256E-2</v>
      </c>
      <c r="J12" s="268">
        <v>1.8367996404377227E-2</v>
      </c>
      <c r="K12" s="268">
        <v>1.8133137729689719E-2</v>
      </c>
      <c r="L12" s="268">
        <v>1.8219908433412976E-2</v>
      </c>
      <c r="M12" s="268">
        <v>1.7912665296589251E-2</v>
      </c>
      <c r="N12" s="244"/>
      <c r="O12" s="245"/>
      <c r="Q12" s="263" t="s">
        <v>370</v>
      </c>
      <c r="R12" s="259">
        <f>H12</f>
        <v>1.6783540546935011E-2</v>
      </c>
      <c r="S12" s="259">
        <f>I12</f>
        <v>1.8399436351628256E-2</v>
      </c>
      <c r="T12" s="260">
        <f t="shared" si="8"/>
        <v>1.6158958046932452E-3</v>
      </c>
      <c r="V12" s="261">
        <v>2010</v>
      </c>
      <c r="W12" s="113">
        <f t="shared" si="10"/>
        <v>1.7912665296589251E-2</v>
      </c>
      <c r="Y12" s="117" t="s">
        <v>371</v>
      </c>
      <c r="Z12" s="254">
        <f>'[6]1. Demo - DHB Devolved'!D13</f>
        <v>1.2419807180275022E-2</v>
      </c>
      <c r="AA12" s="254">
        <f>'[6]1. Demo - DHB Devolved'!E13</f>
        <v>1.4262836535015477E-2</v>
      </c>
      <c r="AB12" s="254">
        <f>'[6]1. Demo - DHB Devolved'!F13</f>
        <v>2.0754001921946985E-2</v>
      </c>
      <c r="AC12" s="254">
        <f>'[6]1. Demo - DHB Devolved'!G13</f>
        <v>2.2401839993820838E-2</v>
      </c>
      <c r="AD12" s="254">
        <f>'[6]1. Demo - DHB Devolved'!H13</f>
        <v>1.7219591202480622E-2</v>
      </c>
      <c r="AE12" s="254">
        <f>'[6]1. Demo - DHB Devolved'!I13</f>
        <v>1.8496139460873362E-2</v>
      </c>
      <c r="AF12" s="254">
        <f>'[6]1. Demo - DHB Devolved'!J13</f>
        <v>1.7217013190476083E-2</v>
      </c>
      <c r="AG12" s="254">
        <f>'[6]1. Demo - DHB Devolved'!K13</f>
        <v>1.6882603598479928E-2</v>
      </c>
      <c r="AH12" s="254">
        <f>'[6]1. Demo - DHB Devolved'!L13</f>
        <v>1.5316527959926551E-2</v>
      </c>
      <c r="AI12" s="254">
        <f>'[6]1. Demo - DHB Devolved'!M13</f>
        <v>1.5009873562034315E-2</v>
      </c>
      <c r="AJ12" s="254">
        <f>'[6]1. Demo - DHB Devolved'!N13</f>
        <v>1.6431335311851925E-2</v>
      </c>
      <c r="AK12" s="254">
        <f>'[6]1. Demo - DHB Devolved'!O13</f>
        <v>1.6080524899801718E-2</v>
      </c>
      <c r="AL12" s="254">
        <f>'[6]1. Demo - DHB Devolved'!P13</f>
        <v>1.8459073963651873E-2</v>
      </c>
      <c r="AM12" s="254">
        <f>'[6]1. Demo - DHB Devolved'!Q13</f>
        <v>1.7199115835565104E-2</v>
      </c>
      <c r="AN12" s="254">
        <f>'[6]1. Demo - DHB Devolved'!R13</f>
        <v>1.6154248741089727E-2</v>
      </c>
      <c r="AO12" s="254">
        <f>'[6]1. Demo - DHB Devolved'!S13</f>
        <v>1.5242119095882689E-2</v>
      </c>
      <c r="AP12" s="254">
        <f>'[6]1. Demo - DHB Devolved'!T13</f>
        <v>1.532906364760378E-2</v>
      </c>
      <c r="AQ12" s="254">
        <f>'[6]1. Demo - DHB Devolved'!U13</f>
        <v>1.6794629131806627E-2</v>
      </c>
      <c r="AR12" s="254">
        <f>'[6]1. Demo - DHB Devolved'!V13</f>
        <v>1.5705254099638744E-2</v>
      </c>
      <c r="AU12" s="248" t="s">
        <v>372</v>
      </c>
      <c r="AV12" s="95">
        <v>16260</v>
      </c>
      <c r="AW12" s="89"/>
      <c r="AX12" s="95">
        <v>16116</v>
      </c>
      <c r="AY12">
        <v>2023</v>
      </c>
      <c r="AZ12" s="49">
        <v>63100</v>
      </c>
      <c r="BA12" s="56">
        <f t="shared" si="6"/>
        <v>3.1796502384737746E-3</v>
      </c>
      <c r="BC12">
        <v>2015</v>
      </c>
      <c r="BD12" s="89">
        <f t="shared" si="3"/>
        <v>1.6586954309555368E-2</v>
      </c>
      <c r="BF12" s="248" t="s">
        <v>343</v>
      </c>
      <c r="BG12" s="95">
        <v>61190</v>
      </c>
      <c r="BH12" s="95">
        <v>62690</v>
      </c>
      <c r="BI12" s="95">
        <v>64240</v>
      </c>
      <c r="BJ12" s="95">
        <v>63650</v>
      </c>
      <c r="BK12" s="95">
        <v>63960</v>
      </c>
      <c r="BL12" s="95">
        <v>61790</v>
      </c>
      <c r="BM12" s="95">
        <v>58980</v>
      </c>
      <c r="BN12" s="95">
        <v>57810</v>
      </c>
      <c r="BO12" s="95">
        <v>58330</v>
      </c>
      <c r="BP12" s="95">
        <v>57190</v>
      </c>
      <c r="BQ12" s="95">
        <v>57430</v>
      </c>
      <c r="BR12" s="95">
        <v>60170</v>
      </c>
      <c r="BS12" s="95">
        <v>61550</v>
      </c>
      <c r="BT12" s="95">
        <v>59740</v>
      </c>
      <c r="BU12" s="95">
        <v>61110</v>
      </c>
      <c r="BV12" s="95">
        <v>61330</v>
      </c>
      <c r="BW12" s="95">
        <v>62350</v>
      </c>
      <c r="BX12" s="95">
        <v>63010</v>
      </c>
      <c r="BY12" s="95">
        <v>62340</v>
      </c>
      <c r="BZ12" s="95">
        <v>63810</v>
      </c>
      <c r="CA12" s="95">
        <v>1222700</v>
      </c>
      <c r="CB12" s="89">
        <f t="shared" si="9"/>
        <v>-2.0404831864185846E-3</v>
      </c>
      <c r="CC12" s="95"/>
      <c r="CD12">
        <v>2019</v>
      </c>
      <c r="CE12" s="95">
        <f>SUM([5]Total!$D1875:$W1875)</f>
        <v>1267810</v>
      </c>
      <c r="CF12" s="89">
        <f t="shared" si="7"/>
        <v>7.2056183167295007E-3</v>
      </c>
      <c r="CH12">
        <v>2014</v>
      </c>
      <c r="CI12" s="197">
        <f t="shared" si="4"/>
        <v>2.866033409760993E-3</v>
      </c>
      <c r="CL12">
        <v>2012</v>
      </c>
      <c r="CM12" s="249">
        <f t="shared" si="1"/>
        <v>1189.0370920352807</v>
      </c>
      <c r="CN12" s="212">
        <f t="shared" si="2"/>
        <v>1.8557900654549986E-3</v>
      </c>
      <c r="CR12" s="248" t="s">
        <v>373</v>
      </c>
      <c r="CS12" s="95">
        <v>143180</v>
      </c>
      <c r="CT12" s="95">
        <v>145380</v>
      </c>
      <c r="CU12" s="95">
        <v>146120</v>
      </c>
      <c r="CV12" s="95">
        <v>145240</v>
      </c>
      <c r="CW12" s="95">
        <v>142960</v>
      </c>
      <c r="CX12" s="95">
        <v>140230</v>
      </c>
      <c r="CY12" s="95">
        <v>137090</v>
      </c>
      <c r="CZ12" s="95">
        <v>132840</v>
      </c>
      <c r="DA12" s="95">
        <v>129140</v>
      </c>
      <c r="DB12" s="95">
        <v>127360</v>
      </c>
      <c r="DC12" s="95">
        <v>128030</v>
      </c>
      <c r="DD12" s="95">
        <v>133060</v>
      </c>
      <c r="DE12" s="95">
        <v>140370</v>
      </c>
      <c r="DF12" s="95">
        <v>143910</v>
      </c>
      <c r="DG12" s="95">
        <v>145080</v>
      </c>
      <c r="DH12" s="95">
        <v>145850</v>
      </c>
      <c r="DI12" s="95">
        <v>144650</v>
      </c>
      <c r="DJ12" s="95">
        <v>144390</v>
      </c>
      <c r="DK12" s="95">
        <v>146620</v>
      </c>
      <c r="DL12" s="95">
        <v>150440</v>
      </c>
      <c r="DM12" s="95">
        <v>154490</v>
      </c>
      <c r="DN12" s="95">
        <v>156360</v>
      </c>
      <c r="DO12" s="95">
        <v>159180</v>
      </c>
      <c r="DP12" s="95">
        <v>166320</v>
      </c>
      <c r="DQ12" s="95">
        <v>175450</v>
      </c>
      <c r="DR12" s="95">
        <v>182170</v>
      </c>
      <c r="DS12" s="95">
        <v>185620</v>
      </c>
      <c r="DT12" s="95">
        <v>186440</v>
      </c>
      <c r="DU12" s="232"/>
      <c r="ED12" s="116"/>
      <c r="EE12" s="116">
        <v>2017</v>
      </c>
      <c r="EF12" s="250">
        <v>1934.197321412461</v>
      </c>
      <c r="EG12" s="240">
        <f t="shared" si="11"/>
        <v>2.7717277966983644E-2</v>
      </c>
    </row>
    <row r="13" spans="1:137" ht="15" customHeight="1">
      <c r="C13" s="271" t="s">
        <v>374</v>
      </c>
      <c r="D13" s="269">
        <v>1.6810924837028316E-2</v>
      </c>
      <c r="E13" s="258">
        <v>1.5719231575254344E-2</v>
      </c>
      <c r="F13" s="265">
        <v>1.7057286189830712E-2</v>
      </c>
      <c r="G13" s="268">
        <v>1.7833533271020514E-2</v>
      </c>
      <c r="H13" s="268">
        <v>1.6917884963556291E-2</v>
      </c>
      <c r="I13" s="272">
        <v>1.8854689226146134E-2</v>
      </c>
      <c r="J13" s="268">
        <v>1.8812696569621999E-2</v>
      </c>
      <c r="K13" s="268">
        <v>1.7255770863049504E-2</v>
      </c>
      <c r="L13" s="268">
        <v>1.7366738419128707E-2</v>
      </c>
      <c r="M13" s="268">
        <v>1.7239762083965916E-2</v>
      </c>
      <c r="N13" s="244"/>
      <c r="O13" s="245"/>
      <c r="Q13" s="271" t="s">
        <v>374</v>
      </c>
      <c r="R13" s="259">
        <f>I13</f>
        <v>1.8854689226146134E-2</v>
      </c>
      <c r="S13" s="259">
        <f>J13</f>
        <v>1.8812696569621999E-2</v>
      </c>
      <c r="T13" s="260">
        <f t="shared" si="8"/>
        <v>-4.199265652413478E-5</v>
      </c>
      <c r="V13" s="266">
        <v>2011</v>
      </c>
      <c r="W13" s="113">
        <f t="shared" si="10"/>
        <v>1.7239762083965916E-2</v>
      </c>
      <c r="Y13" s="117" t="s">
        <v>375</v>
      </c>
      <c r="Z13" s="254">
        <f>'[6]1. Demo - DHB Devolved'!D14</f>
        <v>1.0845643767593005E-2</v>
      </c>
      <c r="AA13" s="254">
        <f>'[6]1. Demo - DHB Devolved'!E14</f>
        <v>1.670222318159631E-2</v>
      </c>
      <c r="AB13" s="254">
        <f>'[6]1. Demo - DHB Devolved'!F14</f>
        <v>2.1467447709665244E-2</v>
      </c>
      <c r="AC13" s="254">
        <f>'[6]1. Demo - DHB Devolved'!G14</f>
        <v>1.9435441553275146E-2</v>
      </c>
      <c r="AD13" s="254">
        <f>'[6]1. Demo - DHB Devolved'!H14</f>
        <v>1.8395012590273652E-2</v>
      </c>
      <c r="AE13" s="254">
        <f>'[6]1. Demo - DHB Devolved'!I14</f>
        <v>1.865309126105541E-2</v>
      </c>
      <c r="AF13" s="254">
        <f>'[6]1. Demo - DHB Devolved'!J14</f>
        <v>1.5801420991361059E-2</v>
      </c>
      <c r="AG13" s="254">
        <f>'[6]1. Demo - DHB Devolved'!K14</f>
        <v>1.6631115012908371E-2</v>
      </c>
      <c r="AH13" s="254">
        <f>'[6]1. Demo - DHB Devolved'!L14</f>
        <v>1.3789186402736631E-2</v>
      </c>
      <c r="AI13" s="254">
        <f>'[6]1. Demo - DHB Devolved'!M14</f>
        <v>1.357897038384781E-2</v>
      </c>
      <c r="AJ13" s="254">
        <f>'[6]1. Demo - DHB Devolved'!N14</f>
        <v>1.5914988359964521E-2</v>
      </c>
      <c r="AK13" s="254">
        <f>'[6]1. Demo - DHB Devolved'!O14</f>
        <v>1.5277492381931435E-2</v>
      </c>
      <c r="AL13" s="254">
        <f>'[6]1. Demo - DHB Devolved'!P14</f>
        <v>1.8013615708232233E-2</v>
      </c>
      <c r="AM13" s="254">
        <f>'[6]1. Demo - DHB Devolved'!Q14</f>
        <v>1.620864676465894E-2</v>
      </c>
      <c r="AN13" s="254">
        <f>'[6]1. Demo - DHB Devolved'!R14</f>
        <v>1.5238423405607771E-2</v>
      </c>
      <c r="AO13" s="254">
        <f>'[6]1. Demo - DHB Devolved'!S14</f>
        <v>1.6065394150900802E-2</v>
      </c>
      <c r="AP13" s="254">
        <f>'[6]1. Demo - DHB Devolved'!T14</f>
        <v>1.579857643593674E-2</v>
      </c>
      <c r="AQ13" s="254">
        <f>'[6]1. Demo - DHB Devolved'!U14</f>
        <v>1.5530952930459474E-2</v>
      </c>
      <c r="AR13" s="254">
        <f>'[6]1. Demo - DHB Devolved'!V14</f>
        <v>1.5639515590647912E-2</v>
      </c>
      <c r="AU13" s="248" t="s">
        <v>376</v>
      </c>
      <c r="AV13" s="95">
        <v>15936</v>
      </c>
      <c r="AW13" s="89">
        <f t="shared" ref="AW13:AW53" si="12">SUM(AV10:AV13)/SUM(AV6:AV9)-1</f>
        <v>5.3953488372093794E-3</v>
      </c>
      <c r="AX13" s="95">
        <v>15834</v>
      </c>
      <c r="AY13">
        <v>2024</v>
      </c>
      <c r="AZ13" s="49">
        <v>63600</v>
      </c>
      <c r="BA13" s="56">
        <f t="shared" si="6"/>
        <v>7.923930269413626E-3</v>
      </c>
      <c r="BC13">
        <v>2016</v>
      </c>
      <c r="BD13" s="89">
        <f t="shared" si="3"/>
        <v>-1.0610610610610638E-2</v>
      </c>
      <c r="BF13" s="248" t="s">
        <v>344</v>
      </c>
      <c r="BG13" s="95">
        <v>60270</v>
      </c>
      <c r="BH13" s="95">
        <v>61360</v>
      </c>
      <c r="BI13" s="95">
        <v>62540</v>
      </c>
      <c r="BJ13" s="95">
        <v>64280</v>
      </c>
      <c r="BK13" s="95">
        <v>63480</v>
      </c>
      <c r="BL13" s="95">
        <v>63820</v>
      </c>
      <c r="BM13" s="95">
        <v>61570</v>
      </c>
      <c r="BN13" s="95">
        <v>58750</v>
      </c>
      <c r="BO13" s="95">
        <v>57690</v>
      </c>
      <c r="BP13" s="95">
        <v>58240</v>
      </c>
      <c r="BQ13" s="95">
        <v>57220</v>
      </c>
      <c r="BR13" s="95">
        <v>57510</v>
      </c>
      <c r="BS13" s="95">
        <v>60350</v>
      </c>
      <c r="BT13" s="95">
        <v>61710</v>
      </c>
      <c r="BU13" s="95">
        <v>59980</v>
      </c>
      <c r="BV13" s="95">
        <v>61560</v>
      </c>
      <c r="BW13" s="95">
        <v>62000</v>
      </c>
      <c r="BX13" s="95">
        <v>62870</v>
      </c>
      <c r="BY13" s="95">
        <v>62920</v>
      </c>
      <c r="BZ13" s="95">
        <v>63130</v>
      </c>
      <c r="CA13" s="95">
        <v>1221200</v>
      </c>
      <c r="CB13" s="89">
        <f t="shared" si="9"/>
        <v>-1.2267931626728235E-3</v>
      </c>
      <c r="CC13" s="95"/>
      <c r="CD13">
        <v>2020</v>
      </c>
      <c r="CE13" s="95">
        <f>SUM([5]Total!$D1876:$W1876)</f>
        <v>1272840</v>
      </c>
      <c r="CF13" s="89">
        <f t="shared" si="7"/>
        <v>3.9674714665447475E-3</v>
      </c>
      <c r="CH13">
        <v>2015</v>
      </c>
      <c r="CI13" s="197">
        <f t="shared" si="4"/>
        <v>5.2257695762227829E-3</v>
      </c>
      <c r="CL13">
        <v>2013</v>
      </c>
      <c r="CM13" s="249">
        <f t="shared" si="1"/>
        <v>1195.5550730181747</v>
      </c>
      <c r="CN13" s="212">
        <f t="shared" si="2"/>
        <v>5.4817305755676671E-3</v>
      </c>
      <c r="CR13" s="248" t="s">
        <v>377</v>
      </c>
      <c r="CS13" s="95">
        <v>139290</v>
      </c>
      <c r="CT13" s="95">
        <v>136860</v>
      </c>
      <c r="CU13" s="95">
        <v>135470</v>
      </c>
      <c r="CV13" s="95">
        <v>135560</v>
      </c>
      <c r="CW13" s="95">
        <v>136640</v>
      </c>
      <c r="CX13" s="95">
        <v>139110</v>
      </c>
      <c r="CY13" s="95">
        <v>140080</v>
      </c>
      <c r="CZ13" s="95">
        <v>138400</v>
      </c>
      <c r="DA13" s="95">
        <v>134250</v>
      </c>
      <c r="DB13" s="95">
        <v>130090</v>
      </c>
      <c r="DC13" s="95">
        <v>124600</v>
      </c>
      <c r="DD13" s="95">
        <v>123040</v>
      </c>
      <c r="DE13" s="95">
        <v>123270</v>
      </c>
      <c r="DF13" s="95">
        <v>123690</v>
      </c>
      <c r="DG13" s="95">
        <v>124740</v>
      </c>
      <c r="DH13" s="95">
        <v>126770</v>
      </c>
      <c r="DI13" s="95">
        <v>128980</v>
      </c>
      <c r="DJ13" s="95">
        <v>131140</v>
      </c>
      <c r="DK13" s="95">
        <v>133210</v>
      </c>
      <c r="DL13" s="95">
        <v>134490</v>
      </c>
      <c r="DM13" s="95">
        <v>134090</v>
      </c>
      <c r="DN13" s="95">
        <v>133950</v>
      </c>
      <c r="DO13" s="95">
        <v>135330</v>
      </c>
      <c r="DP13" s="95">
        <v>143380</v>
      </c>
      <c r="DQ13" s="95">
        <v>155560</v>
      </c>
      <c r="DR13" s="95">
        <v>169830</v>
      </c>
      <c r="DS13" s="95">
        <v>183060</v>
      </c>
      <c r="DT13" s="95">
        <v>193850</v>
      </c>
      <c r="DU13" s="232"/>
      <c r="ED13" s="116"/>
      <c r="EE13" s="231">
        <v>2018</v>
      </c>
      <c r="EF13" s="250">
        <v>1985.1567014488194</v>
      </c>
      <c r="EG13" s="240">
        <f t="shared" si="11"/>
        <v>2.6346526009634275E-2</v>
      </c>
    </row>
    <row r="14" spans="1:137" ht="15" customHeight="1">
      <c r="C14" s="273" t="s">
        <v>378</v>
      </c>
      <c r="D14" s="244"/>
      <c r="E14" s="258">
        <v>1.6615690313013909E-2</v>
      </c>
      <c r="F14" s="244"/>
      <c r="G14" s="244"/>
      <c r="H14" s="268">
        <v>1.6419205929197482E-2</v>
      </c>
      <c r="I14" s="268">
        <v>1.6855882428829093E-2</v>
      </c>
      <c r="J14" s="272">
        <v>1.7545687818385183E-2</v>
      </c>
      <c r="K14" s="268">
        <v>1.5650299965826876E-2</v>
      </c>
      <c r="L14" s="268">
        <v>1.4640464052571286E-2</v>
      </c>
      <c r="M14" s="268">
        <v>1.448501089455561E-2</v>
      </c>
      <c r="N14" s="244"/>
      <c r="O14" s="245"/>
      <c r="Q14" s="273" t="s">
        <v>378</v>
      </c>
      <c r="R14" s="259">
        <f>J14</f>
        <v>1.7545687818385183E-2</v>
      </c>
      <c r="S14" s="259">
        <f>K14</f>
        <v>1.5650299965826876E-2</v>
      </c>
      <c r="T14" s="260">
        <f t="shared" si="8"/>
        <v>-1.8953878525583071E-3</v>
      </c>
      <c r="V14" s="261">
        <v>2012</v>
      </c>
      <c r="W14" s="113">
        <f t="shared" si="10"/>
        <v>1.448501089455561E-2</v>
      </c>
      <c r="Y14" s="117" t="s">
        <v>379</v>
      </c>
      <c r="Z14" s="254">
        <f>'[6]1. Demo - DHB Devolved'!D15</f>
        <v>1.2564411949048226E-2</v>
      </c>
      <c r="AA14" s="254">
        <f>'[6]1. Demo - DHB Devolved'!E15</f>
        <v>1.8866465651652176E-2</v>
      </c>
      <c r="AB14" s="254">
        <f>'[6]1. Demo - DHB Devolved'!F15</f>
        <v>2.5335274371947492E-2</v>
      </c>
      <c r="AC14" s="254">
        <f>'[6]1. Demo - DHB Devolved'!G15</f>
        <v>1.9194692693352167E-2</v>
      </c>
      <c r="AD14" s="254">
        <f>'[6]1. Demo - DHB Devolved'!H15</f>
        <v>1.8052301927023784E-2</v>
      </c>
      <c r="AE14" s="254">
        <f>'[6]1. Demo - DHB Devolved'!I15</f>
        <v>1.9051902281714828E-2</v>
      </c>
      <c r="AF14" s="254">
        <f>'[6]1. Demo - DHB Devolved'!J15</f>
        <v>1.6562305269335997E-2</v>
      </c>
      <c r="AG14" s="254">
        <f>'[6]1. Demo - DHB Devolved'!K15</f>
        <v>1.4893264845267318E-2</v>
      </c>
      <c r="AH14" s="254">
        <f>'[6]1. Demo - DHB Devolved'!L15</f>
        <v>1.553119004186243E-2</v>
      </c>
      <c r="AI14" s="254">
        <f>'[6]1. Demo - DHB Devolved'!M15</f>
        <v>1.2563998009003763E-2</v>
      </c>
      <c r="AJ14" s="254">
        <f>'[6]1. Demo - DHB Devolved'!N15</f>
        <v>1.4510871040744E-2</v>
      </c>
      <c r="AK14" s="254">
        <f>'[6]1. Demo - DHB Devolved'!O15</f>
        <v>1.6126677896098895E-2</v>
      </c>
      <c r="AL14" s="254">
        <f>'[6]1. Demo - DHB Devolved'!P15</f>
        <v>1.8417243305776099E-2</v>
      </c>
      <c r="AM14" s="254">
        <f>'[6]1. Demo - DHB Devolved'!Q15</f>
        <v>1.468251457699643E-2</v>
      </c>
      <c r="AN14" s="254">
        <f>'[6]1. Demo - DHB Devolved'!R15</f>
        <v>1.4896478559266013E-2</v>
      </c>
      <c r="AO14" s="254">
        <f>'[6]1. Demo - DHB Devolved'!S15</f>
        <v>1.2577040185668187E-2</v>
      </c>
      <c r="AP14" s="254">
        <f>'[6]1. Demo - DHB Devolved'!T15</f>
        <v>1.6019091920731698E-2</v>
      </c>
      <c r="AQ14" s="254">
        <f>'[6]1. Demo - DHB Devolved'!U15</f>
        <v>1.4062702220099865E-2</v>
      </c>
      <c r="AR14" s="254">
        <f>'[6]1. Demo - DHB Devolved'!V15</f>
        <v>1.4625691119987572E-2</v>
      </c>
      <c r="AU14" s="248" t="s">
        <v>380</v>
      </c>
      <c r="AV14" s="95">
        <v>15645</v>
      </c>
      <c r="AW14" s="89">
        <f t="shared" si="12"/>
        <v>1.3649628165301797E-2</v>
      </c>
      <c r="AX14" s="95">
        <v>15561</v>
      </c>
      <c r="AY14">
        <v>2025</v>
      </c>
      <c r="AZ14" s="49">
        <v>64200</v>
      </c>
      <c r="BA14" s="56">
        <f t="shared" si="6"/>
        <v>9.4339622641510523E-3</v>
      </c>
      <c r="BC14">
        <v>2017</v>
      </c>
      <c r="BD14" s="89">
        <f t="shared" si="3"/>
        <v>-1.1179684338324614E-2</v>
      </c>
      <c r="BF14" s="248" t="s">
        <v>345</v>
      </c>
      <c r="BG14" s="95">
        <v>58880</v>
      </c>
      <c r="BH14" s="95">
        <v>60600</v>
      </c>
      <c r="BI14" s="95">
        <v>61780</v>
      </c>
      <c r="BJ14" s="95">
        <v>62950</v>
      </c>
      <c r="BK14" s="95">
        <v>64600</v>
      </c>
      <c r="BL14" s="95">
        <v>63810</v>
      </c>
      <c r="BM14" s="95">
        <v>64100</v>
      </c>
      <c r="BN14" s="95">
        <v>61730</v>
      </c>
      <c r="BO14" s="95">
        <v>58970</v>
      </c>
      <c r="BP14" s="95">
        <v>57860</v>
      </c>
      <c r="BQ14" s="95">
        <v>58400</v>
      </c>
      <c r="BR14" s="95">
        <v>57410</v>
      </c>
      <c r="BS14" s="95">
        <v>57640</v>
      </c>
      <c r="BT14" s="95">
        <v>60500</v>
      </c>
      <c r="BU14" s="95">
        <v>61880</v>
      </c>
      <c r="BV14" s="95">
        <v>60370</v>
      </c>
      <c r="BW14" s="95">
        <v>62190</v>
      </c>
      <c r="BX14" s="95">
        <v>62770</v>
      </c>
      <c r="BY14" s="95">
        <v>63530</v>
      </c>
      <c r="BZ14" s="95">
        <v>64720</v>
      </c>
      <c r="CA14" s="95">
        <v>1224700</v>
      </c>
      <c r="CB14" s="89">
        <f t="shared" si="9"/>
        <v>2.866033409760993E-3</v>
      </c>
      <c r="CC14" s="95"/>
      <c r="CD14">
        <v>2021</v>
      </c>
      <c r="CE14" s="95">
        <f>SUM([5]Total!$D1877:$W1877)</f>
        <v>1276770</v>
      </c>
      <c r="CF14" s="89">
        <f t="shared" si="7"/>
        <v>3.0875836711605764E-3</v>
      </c>
      <c r="CH14">
        <v>2016</v>
      </c>
      <c r="CI14" s="197">
        <f t="shared" si="4"/>
        <v>7.2293071237103934E-3</v>
      </c>
      <c r="CL14">
        <v>2014</v>
      </c>
      <c r="CM14" s="249">
        <f t="shared" si="1"/>
        <v>1214.4922115867082</v>
      </c>
      <c r="CN14" s="212">
        <f t="shared" si="2"/>
        <v>1.5839620437331225E-2</v>
      </c>
      <c r="CR14" s="248" t="s">
        <v>381</v>
      </c>
      <c r="CS14" s="95">
        <v>139740</v>
      </c>
      <c r="CT14" s="95">
        <v>142800</v>
      </c>
      <c r="CU14" s="95">
        <v>145420</v>
      </c>
      <c r="CV14" s="95">
        <v>146880</v>
      </c>
      <c r="CW14" s="95">
        <v>147510</v>
      </c>
      <c r="CX14" s="95">
        <v>147710</v>
      </c>
      <c r="CY14" s="95">
        <v>146370</v>
      </c>
      <c r="CZ14" s="95">
        <v>144120</v>
      </c>
      <c r="DA14" s="95">
        <v>141660</v>
      </c>
      <c r="DB14" s="95">
        <v>140240</v>
      </c>
      <c r="DC14" s="95">
        <v>139580</v>
      </c>
      <c r="DD14" s="95">
        <v>141050</v>
      </c>
      <c r="DE14" s="95">
        <v>142450</v>
      </c>
      <c r="DF14" s="95">
        <v>141820</v>
      </c>
      <c r="DG14" s="95">
        <v>139790</v>
      </c>
      <c r="DH14" s="95">
        <v>136320</v>
      </c>
      <c r="DI14" s="95">
        <v>132850</v>
      </c>
      <c r="DJ14" s="95">
        <v>129840</v>
      </c>
      <c r="DK14" s="95">
        <v>128470</v>
      </c>
      <c r="DL14" s="95">
        <v>127860</v>
      </c>
      <c r="DM14" s="95">
        <v>128120</v>
      </c>
      <c r="DN14" s="95">
        <v>128030</v>
      </c>
      <c r="DO14" s="95">
        <v>129510</v>
      </c>
      <c r="DP14" s="95">
        <v>133470</v>
      </c>
      <c r="DQ14" s="95">
        <v>138500</v>
      </c>
      <c r="DR14" s="95">
        <v>144780</v>
      </c>
      <c r="DS14" s="95">
        <v>153310</v>
      </c>
      <c r="DT14" s="95">
        <v>161920</v>
      </c>
      <c r="DU14" s="232"/>
      <c r="ED14" s="116"/>
      <c r="EE14" s="116">
        <v>2019</v>
      </c>
      <c r="EF14" s="250">
        <v>2037.831014615128</v>
      </c>
      <c r="EG14" s="240">
        <f t="shared" si="11"/>
        <v>2.6534083242832018E-2</v>
      </c>
    </row>
    <row r="15" spans="1:137" ht="15" customHeight="1">
      <c r="C15" s="273" t="s">
        <v>382</v>
      </c>
      <c r="D15" s="244"/>
      <c r="E15" s="258">
        <v>1.7100127358324224E-2</v>
      </c>
      <c r="F15" s="244"/>
      <c r="G15" s="244"/>
      <c r="H15" s="268">
        <v>1.5763978023488022E-2</v>
      </c>
      <c r="I15" s="268">
        <v>1.552713716597638E-2</v>
      </c>
      <c r="J15" s="268">
        <v>1.6029486551884593E-2</v>
      </c>
      <c r="K15" s="272">
        <v>1.5616597505223321E-2</v>
      </c>
      <c r="L15" s="274">
        <v>1.3423835213622504E-2</v>
      </c>
      <c r="M15" s="274">
        <v>1.4159992527164099E-2</v>
      </c>
      <c r="N15" s="244"/>
      <c r="O15" s="245"/>
      <c r="Q15" s="273" t="s">
        <v>382</v>
      </c>
      <c r="R15" s="259">
        <f>K15</f>
        <v>1.5616597505223321E-2</v>
      </c>
      <c r="S15" s="259">
        <f>L15</f>
        <v>1.3423835213622504E-2</v>
      </c>
      <c r="T15" s="260">
        <f t="shared" si="8"/>
        <v>-2.1927622916008173E-3</v>
      </c>
      <c r="V15" s="266">
        <v>2013</v>
      </c>
      <c r="W15" s="113">
        <f t="shared" si="10"/>
        <v>1.4159992527164099E-2</v>
      </c>
      <c r="Y15" s="117" t="s">
        <v>383</v>
      </c>
      <c r="Z15" s="254">
        <f>'[6]1. Demo - DHB Devolved'!D16</f>
        <v>1.3404744704137217E-2</v>
      </c>
      <c r="AA15" s="254">
        <f>'[6]1. Demo - DHB Devolved'!E16</f>
        <v>1.7504987584502141E-2</v>
      </c>
      <c r="AB15" s="254">
        <f>'[6]1. Demo - DHB Devolved'!F16</f>
        <v>2.0289211592724676E-2</v>
      </c>
      <c r="AC15" s="254">
        <f>'[6]1. Demo - DHB Devolved'!G16</f>
        <v>2.1986096589428072E-2</v>
      </c>
      <c r="AD15" s="254">
        <f>'[6]1. Demo - DHB Devolved'!H16</f>
        <v>1.9859412273117494E-2</v>
      </c>
      <c r="AE15" s="254">
        <f>'[6]1. Demo - DHB Devolved'!I16</f>
        <v>1.8194597616999264E-2</v>
      </c>
      <c r="AF15" s="254">
        <f>'[6]1. Demo - DHB Devolved'!J16</f>
        <v>1.704231606202633E-2</v>
      </c>
      <c r="AG15" s="254">
        <f>'[6]1. Demo - DHB Devolved'!K16</f>
        <v>1.5478295054122571E-2</v>
      </c>
      <c r="AH15" s="254">
        <f>'[6]1. Demo - DHB Devolved'!L16</f>
        <v>1.552815510234562E-2</v>
      </c>
      <c r="AI15" s="254">
        <f>'[6]1. Demo - DHB Devolved'!M16</f>
        <v>1.6326827808566202E-2</v>
      </c>
      <c r="AJ15" s="254">
        <f>'[6]1. Demo - DHB Devolved'!N16</f>
        <v>1.5802835609934673E-2</v>
      </c>
      <c r="AK15" s="254">
        <f>'[6]1. Demo - DHB Devolved'!O16</f>
        <v>1.5188371531138722E-2</v>
      </c>
      <c r="AL15" s="254">
        <f>'[6]1. Demo - DHB Devolved'!P16</f>
        <v>1.7582071299447222E-2</v>
      </c>
      <c r="AM15" s="254">
        <f>'[6]1. Demo - DHB Devolved'!Q16</f>
        <v>1.7408446514874054E-2</v>
      </c>
      <c r="AN15" s="254">
        <f>'[6]1. Demo - DHB Devolved'!R16</f>
        <v>1.4002754488040114E-2</v>
      </c>
      <c r="AO15" s="254">
        <f>'[6]1. Demo - DHB Devolved'!S16</f>
        <v>1.7523948754107899E-2</v>
      </c>
      <c r="AP15" s="254">
        <f>'[6]1. Demo - DHB Devolved'!T16</f>
        <v>1.4565071641114091E-2</v>
      </c>
      <c r="AQ15" s="254">
        <f>'[6]1. Demo - DHB Devolved'!U16</f>
        <v>1.6584688658191293E-2</v>
      </c>
      <c r="AR15" s="254">
        <f>'[6]1. Demo - DHB Devolved'!V16</f>
        <v>1.4931299875263537E-2</v>
      </c>
      <c r="AU15" s="248" t="s">
        <v>384</v>
      </c>
      <c r="AV15" s="95">
        <v>15534</v>
      </c>
      <c r="AW15" s="89">
        <f t="shared" si="12"/>
        <v>-1.9721577726218076E-2</v>
      </c>
      <c r="AX15" s="95">
        <v>15453</v>
      </c>
      <c r="AY15">
        <v>2026</v>
      </c>
      <c r="AZ15" s="49">
        <v>64300</v>
      </c>
      <c r="BA15" s="56">
        <f t="shared" si="6"/>
        <v>1.5576323987538387E-3</v>
      </c>
      <c r="BC15">
        <v>2018</v>
      </c>
      <c r="BD15" s="131">
        <f>BA7</f>
        <v>3.6885455568629544E-2</v>
      </c>
      <c r="BF15" s="248" t="s">
        <v>346</v>
      </c>
      <c r="BG15" s="95">
        <v>59120</v>
      </c>
      <c r="BH15" s="95">
        <v>59460</v>
      </c>
      <c r="BI15" s="95">
        <v>61240</v>
      </c>
      <c r="BJ15" s="95">
        <v>62360</v>
      </c>
      <c r="BK15" s="95">
        <v>63580</v>
      </c>
      <c r="BL15" s="95">
        <v>65130</v>
      </c>
      <c r="BM15" s="95">
        <v>64230</v>
      </c>
      <c r="BN15" s="95">
        <v>64440</v>
      </c>
      <c r="BO15" s="95">
        <v>62050</v>
      </c>
      <c r="BP15" s="95">
        <v>59280</v>
      </c>
      <c r="BQ15" s="95">
        <v>58240</v>
      </c>
      <c r="BR15" s="95">
        <v>58690</v>
      </c>
      <c r="BS15" s="95">
        <v>57750</v>
      </c>
      <c r="BT15" s="95">
        <v>57960</v>
      </c>
      <c r="BU15" s="95">
        <v>60830</v>
      </c>
      <c r="BV15" s="95">
        <v>62470</v>
      </c>
      <c r="BW15" s="95">
        <v>61210</v>
      </c>
      <c r="BX15" s="95">
        <v>63150</v>
      </c>
      <c r="BY15" s="95">
        <v>63900</v>
      </c>
      <c r="BZ15" s="95">
        <v>66070</v>
      </c>
      <c r="CA15" s="95">
        <v>1231100</v>
      </c>
      <c r="CB15" s="89">
        <f t="shared" si="9"/>
        <v>5.2257695762227829E-3</v>
      </c>
      <c r="CC15" s="95"/>
      <c r="CD15">
        <v>2022</v>
      </c>
      <c r="CE15" s="95">
        <f>SUM([5]Total!$D1878:$W1878)</f>
        <v>1280980</v>
      </c>
      <c r="CF15" s="89">
        <f t="shared" si="7"/>
        <v>3.2973832405209791E-3</v>
      </c>
      <c r="CH15">
        <v>2017</v>
      </c>
      <c r="CI15" s="197">
        <f t="shared" si="4"/>
        <v>8.2258064516129714E-3</v>
      </c>
      <c r="CL15">
        <v>2015</v>
      </c>
      <c r="CM15" s="249">
        <f t="shared" si="1"/>
        <v>1241.2108150333831</v>
      </c>
      <c r="CN15" s="212">
        <f t="shared" si="2"/>
        <v>2.1999814565930809E-2</v>
      </c>
      <c r="CR15" s="248" t="s">
        <v>385</v>
      </c>
      <c r="CS15" s="95">
        <v>126090</v>
      </c>
      <c r="CT15" s="95">
        <v>128840</v>
      </c>
      <c r="CU15" s="95">
        <v>131820</v>
      </c>
      <c r="CV15" s="95">
        <v>135950</v>
      </c>
      <c r="CW15" s="95">
        <v>140560</v>
      </c>
      <c r="CX15" s="95">
        <v>145580</v>
      </c>
      <c r="CY15" s="95">
        <v>149610</v>
      </c>
      <c r="CZ15" s="95">
        <v>152410</v>
      </c>
      <c r="DA15" s="95">
        <v>152780</v>
      </c>
      <c r="DB15" s="95">
        <v>151440</v>
      </c>
      <c r="DC15" s="95">
        <v>148580</v>
      </c>
      <c r="DD15" s="95">
        <v>147670</v>
      </c>
      <c r="DE15" s="95">
        <v>147480</v>
      </c>
      <c r="DF15" s="95">
        <v>147270</v>
      </c>
      <c r="DG15" s="95">
        <v>147590</v>
      </c>
      <c r="DH15" s="95">
        <v>149140</v>
      </c>
      <c r="DI15" s="95">
        <v>150200</v>
      </c>
      <c r="DJ15" s="95">
        <v>149370</v>
      </c>
      <c r="DK15" s="95">
        <v>147380</v>
      </c>
      <c r="DL15" s="95">
        <v>144520</v>
      </c>
      <c r="DM15" s="95">
        <v>139650</v>
      </c>
      <c r="DN15" s="95">
        <v>134990</v>
      </c>
      <c r="DO15" s="95">
        <v>131500</v>
      </c>
      <c r="DP15" s="95">
        <v>129980</v>
      </c>
      <c r="DQ15" s="95">
        <v>130850</v>
      </c>
      <c r="DR15" s="95">
        <v>133860</v>
      </c>
      <c r="DS15" s="95">
        <v>137820</v>
      </c>
      <c r="DT15" s="95">
        <v>144100</v>
      </c>
      <c r="DU15" s="232"/>
      <c r="ED15" s="116"/>
      <c r="EE15" s="231">
        <v>2020</v>
      </c>
      <c r="EF15" s="250">
        <v>2090.6303420237664</v>
      </c>
      <c r="EG15" s="240">
        <f t="shared" si="11"/>
        <v>2.5909571024273603E-2</v>
      </c>
    </row>
    <row r="16" spans="1:137" ht="15" customHeight="1">
      <c r="C16" s="273" t="s">
        <v>386</v>
      </c>
      <c r="D16" s="244"/>
      <c r="E16" s="244"/>
      <c r="F16" s="244"/>
      <c r="G16" s="244"/>
      <c r="H16" s="268">
        <v>1.5658532533342956E-2</v>
      </c>
      <c r="I16" s="268">
        <v>1.531186242033567E-2</v>
      </c>
      <c r="J16" s="268">
        <v>1.5087868898402426E-2</v>
      </c>
      <c r="K16" s="268">
        <v>1.5644992405753604E-2</v>
      </c>
      <c r="L16" s="272">
        <v>1.4161361647671719E-2</v>
      </c>
      <c r="M16" s="268">
        <v>1.5436367224463263E-2</v>
      </c>
      <c r="N16" s="244"/>
      <c r="O16" s="245"/>
      <c r="Q16" s="273" t="s">
        <v>386</v>
      </c>
      <c r="R16" s="259">
        <f>L16</f>
        <v>1.4161361647671719E-2</v>
      </c>
      <c r="S16" s="259">
        <f>M16</f>
        <v>1.5436367224463263E-2</v>
      </c>
      <c r="T16" s="260">
        <f t="shared" si="8"/>
        <v>1.2750055767915443E-3</v>
      </c>
      <c r="V16" s="261">
        <v>2014</v>
      </c>
      <c r="W16" s="113">
        <f t="shared" si="10"/>
        <v>1.5436367224463263E-2</v>
      </c>
      <c r="Y16" s="117" t="s">
        <v>387</v>
      </c>
      <c r="Z16" s="254">
        <f>'[6]1. Demo - DHB Devolved'!D17</f>
        <v>2.1179609503066965E-2</v>
      </c>
      <c r="AA16" s="254">
        <f>'[6]1. Demo - DHB Devolved'!E17</f>
        <v>2.6204394117230301E-2</v>
      </c>
      <c r="AB16" s="254">
        <f>'[6]1. Demo - DHB Devolved'!F17</f>
        <v>2.645811134309084E-2</v>
      </c>
      <c r="AC16" s="254">
        <f>'[6]1. Demo - DHB Devolved'!G17</f>
        <v>2.8484505840089991E-2</v>
      </c>
      <c r="AD16" s="254">
        <f>'[6]1. Demo - DHB Devolved'!H17</f>
        <v>2.4356150916602148E-2</v>
      </c>
      <c r="AE16" s="254">
        <f>'[6]1. Demo - DHB Devolved'!I17</f>
        <v>2.3104271962345102E-2</v>
      </c>
      <c r="AF16" s="254">
        <f>'[6]1. Demo - DHB Devolved'!J17</f>
        <v>2.2741020074897644E-2</v>
      </c>
      <c r="AG16" s="254">
        <f>'[6]1. Demo - DHB Devolved'!K17</f>
        <v>2.1786598969613769E-2</v>
      </c>
      <c r="AH16" s="254">
        <f>'[6]1. Demo - DHB Devolved'!L17</f>
        <v>2.0656066096158998E-2</v>
      </c>
      <c r="AI16" s="254">
        <f>'[6]1. Demo - DHB Devolved'!M17</f>
        <v>2.0673528533523999E-2</v>
      </c>
      <c r="AJ16" s="254">
        <f>'[6]1. Demo - DHB Devolved'!N17</f>
        <v>2.1017402398776586E-2</v>
      </c>
      <c r="AK16" s="254">
        <f>'[6]1. Demo - DHB Devolved'!O17</f>
        <v>2.1324578011213902E-2</v>
      </c>
      <c r="AL16" s="254">
        <f>'[6]1. Demo - DHB Devolved'!P17</f>
        <v>2.3513566262697072E-2</v>
      </c>
      <c r="AM16" s="254">
        <f>'[6]1. Demo - DHB Devolved'!Q17</f>
        <v>2.2085953798650637E-2</v>
      </c>
      <c r="AN16" s="254">
        <f>'[6]1. Demo - DHB Devolved'!R17</f>
        <v>1.8705213052059078E-2</v>
      </c>
      <c r="AO16" s="254">
        <f>'[6]1. Demo - DHB Devolved'!S17</f>
        <v>2.0792927834714092E-2</v>
      </c>
      <c r="AP16" s="254">
        <f>'[6]1. Demo - DHB Devolved'!T17</f>
        <v>1.95147437236729E-2</v>
      </c>
      <c r="AQ16" s="254">
        <f>'[6]1. Demo - DHB Devolved'!U17</f>
        <v>2.148627457375718E-2</v>
      </c>
      <c r="AR16" s="254">
        <f>'[6]1. Demo - DHB Devolved'!V17</f>
        <v>2.0145294659636548E-2</v>
      </c>
      <c r="AU16" s="248" t="s">
        <v>388</v>
      </c>
      <c r="AV16" s="95">
        <v>16422</v>
      </c>
      <c r="AW16" s="89">
        <f t="shared" si="12"/>
        <v>-2.3244016049439709E-2</v>
      </c>
      <c r="AX16" s="95">
        <v>16311</v>
      </c>
      <c r="AY16">
        <v>2027</v>
      </c>
      <c r="AZ16" s="49">
        <v>64100</v>
      </c>
      <c r="BA16" s="56">
        <f t="shared" si="6"/>
        <v>-3.1104199066873672E-3</v>
      </c>
      <c r="BC16">
        <v>2019</v>
      </c>
      <c r="BD16" s="131">
        <f t="shared" ref="BD16:BD30" si="13">BA8</f>
        <v>9.8019867114005343E-3</v>
      </c>
      <c r="BF16" s="248" t="s">
        <v>347</v>
      </c>
      <c r="BG16" s="95">
        <v>59730</v>
      </c>
      <c r="BH16" s="95">
        <v>59840</v>
      </c>
      <c r="BI16" s="95">
        <v>60210</v>
      </c>
      <c r="BJ16" s="95">
        <v>62120</v>
      </c>
      <c r="BK16" s="95">
        <v>63110</v>
      </c>
      <c r="BL16" s="95">
        <v>64310</v>
      </c>
      <c r="BM16" s="95">
        <v>65670</v>
      </c>
      <c r="BN16" s="95">
        <v>64780</v>
      </c>
      <c r="BO16" s="95">
        <v>64930</v>
      </c>
      <c r="BP16" s="95">
        <v>62580</v>
      </c>
      <c r="BQ16" s="95">
        <v>59760</v>
      </c>
      <c r="BR16" s="95">
        <v>58690</v>
      </c>
      <c r="BS16" s="95">
        <v>59170</v>
      </c>
      <c r="BT16" s="95">
        <v>58230</v>
      </c>
      <c r="BU16" s="95">
        <v>58470</v>
      </c>
      <c r="BV16" s="95">
        <v>61560</v>
      </c>
      <c r="BW16" s="95">
        <v>63550</v>
      </c>
      <c r="BX16" s="95">
        <v>62250</v>
      </c>
      <c r="BY16" s="95">
        <v>64300</v>
      </c>
      <c r="BZ16" s="95">
        <v>66720</v>
      </c>
      <c r="CA16" s="95">
        <v>1240000</v>
      </c>
      <c r="CB16" s="89">
        <f t="shared" si="9"/>
        <v>7.2293071237103934E-3</v>
      </c>
      <c r="CC16" s="95"/>
      <c r="CD16">
        <v>2023</v>
      </c>
      <c r="CE16" s="95">
        <f>SUM([5]Total!$D1879:$W1879)</f>
        <v>1285370</v>
      </c>
      <c r="CF16" s="89">
        <f t="shared" si="7"/>
        <v>3.427063654389606E-3</v>
      </c>
      <c r="CH16">
        <v>2018</v>
      </c>
      <c r="CI16" s="197">
        <f t="shared" si="4"/>
        <v>6.9588865781475828E-3</v>
      </c>
      <c r="CL16">
        <v>2016</v>
      </c>
      <c r="CM16" s="249">
        <f>HLOOKUP($CL16,$DG$1:$DT$2,2)/1000000</f>
        <v>1271.5986467317541</v>
      </c>
      <c r="CN16" s="212">
        <f>HLOOKUP($CL16,$DG$1:$DT$2,2)/HLOOKUP($CL16-1,$DG$1:$DT$2,2)-1</f>
        <v>2.4482409700525842E-2</v>
      </c>
      <c r="CO16" s="89"/>
      <c r="CP16" s="89"/>
      <c r="CQ16" s="89"/>
      <c r="CR16" s="248" t="s">
        <v>389</v>
      </c>
      <c r="CS16" s="95">
        <v>122000</v>
      </c>
      <c r="CT16" s="95">
        <v>122150</v>
      </c>
      <c r="CU16" s="95">
        <v>122810</v>
      </c>
      <c r="CV16" s="95">
        <v>124570</v>
      </c>
      <c r="CW16" s="95">
        <v>127050</v>
      </c>
      <c r="CX16" s="95">
        <v>130690</v>
      </c>
      <c r="CY16" s="95">
        <v>134120</v>
      </c>
      <c r="CZ16" s="95">
        <v>136920</v>
      </c>
      <c r="DA16" s="95">
        <v>139810</v>
      </c>
      <c r="DB16" s="95">
        <v>142570</v>
      </c>
      <c r="DC16" s="95">
        <v>145010</v>
      </c>
      <c r="DD16" s="95">
        <v>149490</v>
      </c>
      <c r="DE16" s="95">
        <v>154050</v>
      </c>
      <c r="DF16" s="95">
        <v>156410</v>
      </c>
      <c r="DG16" s="95">
        <v>156800</v>
      </c>
      <c r="DH16" s="95">
        <v>155940</v>
      </c>
      <c r="DI16" s="95">
        <v>153850</v>
      </c>
      <c r="DJ16" s="95">
        <v>151770</v>
      </c>
      <c r="DK16" s="95">
        <v>150640</v>
      </c>
      <c r="DL16" s="95">
        <v>150360</v>
      </c>
      <c r="DM16" s="95">
        <v>150700</v>
      </c>
      <c r="DN16" s="95">
        <v>150950</v>
      </c>
      <c r="DO16" s="95">
        <v>150170</v>
      </c>
      <c r="DP16" s="95">
        <v>148830</v>
      </c>
      <c r="DQ16" s="95">
        <v>146870</v>
      </c>
      <c r="DR16" s="95">
        <v>143920</v>
      </c>
      <c r="DS16" s="95">
        <v>141580</v>
      </c>
      <c r="DT16" s="95">
        <v>140050</v>
      </c>
      <c r="DU16" s="232"/>
      <c r="ED16" s="116"/>
      <c r="EE16" s="116">
        <v>2021</v>
      </c>
      <c r="EF16" s="250">
        <v>2144.0997365443877</v>
      </c>
      <c r="EG16" s="240">
        <f t="shared" si="11"/>
        <v>2.5575728738760128E-2</v>
      </c>
    </row>
    <row r="17" spans="3:137" ht="15" customHeight="1">
      <c r="C17" s="271" t="s">
        <v>390</v>
      </c>
      <c r="D17" s="244"/>
      <c r="E17" s="244"/>
      <c r="F17" s="244"/>
      <c r="G17" s="244"/>
      <c r="H17" s="244"/>
      <c r="I17" s="244"/>
      <c r="J17" s="244"/>
      <c r="K17" s="268">
        <v>1.5831280122511289E-2</v>
      </c>
      <c r="L17" s="268">
        <v>1.5893965748097059E-2</v>
      </c>
      <c r="M17" s="272">
        <v>1.6366474024936316E-2</v>
      </c>
      <c r="N17" s="268">
        <v>2.0748379952031354E-2</v>
      </c>
      <c r="O17" s="275">
        <v>2.4165915201550536E-2</v>
      </c>
      <c r="Q17" s="271" t="s">
        <v>390</v>
      </c>
      <c r="R17" s="259">
        <f>M17</f>
        <v>1.6366474024936316E-2</v>
      </c>
      <c r="S17" s="259">
        <f>N17</f>
        <v>2.0748379952031354E-2</v>
      </c>
      <c r="T17" s="260">
        <f t="shared" si="8"/>
        <v>4.3819059270950381E-3</v>
      </c>
      <c r="V17" s="266">
        <v>2015</v>
      </c>
      <c r="W17" s="153">
        <f t="array" ref="W17:W35">TRANSPOSE(Z27:AR27)</f>
        <v>2.0895503190858422E-2</v>
      </c>
      <c r="Y17" s="117" t="s">
        <v>391</v>
      </c>
      <c r="Z17" s="254">
        <f>'[6]1. Demo - DHB Devolved'!D18</f>
        <v>1.566922947294902E-2</v>
      </c>
      <c r="AA17" s="254">
        <f>'[6]1. Demo - DHB Devolved'!E18</f>
        <v>2.3752535702382005E-2</v>
      </c>
      <c r="AB17" s="254">
        <f>'[6]1. Demo - DHB Devolved'!F18</f>
        <v>2.8817020234625179E-2</v>
      </c>
      <c r="AC17" s="254">
        <f>'[6]1. Demo - DHB Devolved'!G18</f>
        <v>3.0600546099176285E-2</v>
      </c>
      <c r="AD17" s="254">
        <f>'[6]1. Demo - DHB Devolved'!H18</f>
        <v>2.7211507447328254E-2</v>
      </c>
      <c r="AE17" s="254">
        <f>'[6]1. Demo - DHB Devolved'!I18</f>
        <v>2.3850246555251919E-2</v>
      </c>
      <c r="AF17" s="254">
        <f>'[6]1. Demo - DHB Devolved'!J18</f>
        <v>2.0012104510028772E-2</v>
      </c>
      <c r="AG17" s="254">
        <f>'[6]1. Demo - DHB Devolved'!K18</f>
        <v>2.1247880772585326E-2</v>
      </c>
      <c r="AH17" s="254">
        <f>'[6]1. Demo - DHB Devolved'!L18</f>
        <v>1.9355258919439899E-2</v>
      </c>
      <c r="AI17" s="254">
        <f>'[6]1. Demo - DHB Devolved'!M18</f>
        <v>1.7676724997827797E-2</v>
      </c>
      <c r="AJ17" s="254">
        <f>'[6]1. Demo - DHB Devolved'!N18</f>
        <v>1.9646104058821834E-2</v>
      </c>
      <c r="AK17" s="254">
        <f>'[6]1. Demo - DHB Devolved'!O18</f>
        <v>2.0292318574755441E-2</v>
      </c>
      <c r="AL17" s="254">
        <f>'[6]1. Demo - DHB Devolved'!P18</f>
        <v>2.0909819836752774E-2</v>
      </c>
      <c r="AM17" s="254">
        <f>'[6]1. Demo - DHB Devolved'!Q18</f>
        <v>2.0397202298279904E-2</v>
      </c>
      <c r="AN17" s="254">
        <f>'[6]1. Demo - DHB Devolved'!R18</f>
        <v>1.6698526705308137E-2</v>
      </c>
      <c r="AO17" s="254">
        <f>'[6]1. Demo - DHB Devolved'!S18</f>
        <v>1.8546883565874639E-2</v>
      </c>
      <c r="AP17" s="254">
        <f>'[6]1. Demo - DHB Devolved'!T18</f>
        <v>1.8335098793460514E-2</v>
      </c>
      <c r="AQ17" s="254">
        <f>'[6]1. Demo - DHB Devolved'!U18</f>
        <v>1.8544338726228515E-2</v>
      </c>
      <c r="AR17" s="254">
        <f>'[6]1. Demo - DHB Devolved'!V18</f>
        <v>1.8437701239068627E-2</v>
      </c>
      <c r="AU17" s="248" t="s">
        <v>392</v>
      </c>
      <c r="AV17" s="95">
        <v>15324</v>
      </c>
      <c r="AW17" s="89">
        <f t="shared" si="12"/>
        <v>-2.965396002960774E-2</v>
      </c>
      <c r="AX17" s="95">
        <v>15216</v>
      </c>
      <c r="AY17">
        <v>2028</v>
      </c>
      <c r="AZ17" s="49">
        <v>63500</v>
      </c>
      <c r="BA17" s="56">
        <f t="shared" si="6"/>
        <v>-9.3603744149766133E-3</v>
      </c>
      <c r="BC17">
        <v>2020</v>
      </c>
      <c r="BD17" s="131">
        <f t="shared" si="13"/>
        <v>9.7719869706840434E-3</v>
      </c>
      <c r="BF17" s="248" t="s">
        <v>348</v>
      </c>
      <c r="BG17" s="95">
        <v>60570</v>
      </c>
      <c r="BH17" s="95">
        <v>60480</v>
      </c>
      <c r="BI17" s="95">
        <v>60830</v>
      </c>
      <c r="BJ17" s="95">
        <v>61160</v>
      </c>
      <c r="BK17" s="95">
        <v>62930</v>
      </c>
      <c r="BL17" s="95">
        <v>63960</v>
      </c>
      <c r="BM17" s="95">
        <v>65020</v>
      </c>
      <c r="BN17" s="95">
        <v>66360</v>
      </c>
      <c r="BO17" s="95">
        <v>65470</v>
      </c>
      <c r="BP17" s="95">
        <v>65530</v>
      </c>
      <c r="BQ17" s="95">
        <v>63200</v>
      </c>
      <c r="BR17" s="95">
        <v>60340</v>
      </c>
      <c r="BS17" s="95">
        <v>59290</v>
      </c>
      <c r="BT17" s="95">
        <v>59660</v>
      </c>
      <c r="BU17" s="95">
        <v>58870</v>
      </c>
      <c r="BV17" s="95">
        <v>59280</v>
      </c>
      <c r="BW17" s="95">
        <v>62680</v>
      </c>
      <c r="BX17" s="95">
        <v>64550</v>
      </c>
      <c r="BY17" s="95">
        <v>63240</v>
      </c>
      <c r="BZ17" s="95">
        <v>66750</v>
      </c>
      <c r="CA17" s="95">
        <v>1250200</v>
      </c>
      <c r="CB17" s="89">
        <f>CA17/CA16-1</f>
        <v>8.2258064516129714E-3</v>
      </c>
      <c r="CC17" s="95"/>
      <c r="CD17">
        <v>2024</v>
      </c>
      <c r="CE17" s="95">
        <f>SUM([5]Total!$D1880:$W1880)</f>
        <v>1289610</v>
      </c>
      <c r="CF17" s="89">
        <f t="shared" si="7"/>
        <v>3.298661085912924E-3</v>
      </c>
      <c r="CH17">
        <v>2019</v>
      </c>
      <c r="CI17" s="131">
        <f t="shared" ref="CI17:CI31" si="14">CF12</f>
        <v>7.2056183167295007E-3</v>
      </c>
      <c r="CL17">
        <v>2017</v>
      </c>
      <c r="CM17" s="249">
        <f>HLOOKUP($CL17,$DG$1:$DT$2,2)/1000000</f>
        <v>1302.684182934272</v>
      </c>
      <c r="CN17" s="212">
        <f>HLOOKUP($CL17,$DG$1:$DT$2,2)/HLOOKUP($CL17-1,$DG$1:$DT$2,2)-1</f>
        <v>2.4446028062717451E-2</v>
      </c>
      <c r="CO17" s="89"/>
      <c r="CR17" s="248" t="s">
        <v>393</v>
      </c>
      <c r="CS17" s="95">
        <v>97040</v>
      </c>
      <c r="CT17" s="95">
        <v>102350</v>
      </c>
      <c r="CU17" s="95">
        <v>109310</v>
      </c>
      <c r="CV17" s="95">
        <v>115010</v>
      </c>
      <c r="CW17" s="95">
        <v>120350</v>
      </c>
      <c r="CX17" s="95">
        <v>125000</v>
      </c>
      <c r="CY17" s="95">
        <v>125490</v>
      </c>
      <c r="CZ17" s="95">
        <v>125860</v>
      </c>
      <c r="DA17" s="95">
        <v>126560</v>
      </c>
      <c r="DB17" s="95">
        <v>127310</v>
      </c>
      <c r="DC17" s="95">
        <v>128930</v>
      </c>
      <c r="DD17" s="95">
        <v>132600</v>
      </c>
      <c r="DE17" s="95">
        <v>136760</v>
      </c>
      <c r="DF17" s="95">
        <v>141270</v>
      </c>
      <c r="DG17" s="95">
        <v>145320</v>
      </c>
      <c r="DH17" s="95">
        <v>149120</v>
      </c>
      <c r="DI17" s="95">
        <v>152530</v>
      </c>
      <c r="DJ17" s="95">
        <v>155460</v>
      </c>
      <c r="DK17" s="95">
        <v>156820</v>
      </c>
      <c r="DL17" s="95">
        <v>156600</v>
      </c>
      <c r="DM17" s="95">
        <v>154850</v>
      </c>
      <c r="DN17" s="95">
        <v>151930</v>
      </c>
      <c r="DO17" s="95">
        <v>150100</v>
      </c>
      <c r="DP17" s="95">
        <v>149510</v>
      </c>
      <c r="DQ17" s="95">
        <v>150060</v>
      </c>
      <c r="DR17" s="95">
        <v>151990</v>
      </c>
      <c r="DS17" s="95">
        <v>154250</v>
      </c>
      <c r="DT17" s="95">
        <v>155190</v>
      </c>
      <c r="DU17" s="232"/>
      <c r="ED17" s="116"/>
      <c r="EE17" s="231">
        <v>2022</v>
      </c>
      <c r="EF17" s="250">
        <v>2198.2846687788465</v>
      </c>
      <c r="EG17" s="240">
        <f t="shared" si="11"/>
        <v>2.5271647261049468E-2</v>
      </c>
    </row>
    <row r="18" spans="3:137" ht="15" customHeight="1">
      <c r="C18" s="271" t="s">
        <v>394</v>
      </c>
      <c r="D18" s="244"/>
      <c r="E18" s="244"/>
      <c r="F18" s="244"/>
      <c r="G18" s="244"/>
      <c r="H18" s="244"/>
      <c r="I18" s="244"/>
      <c r="J18" s="244"/>
      <c r="K18" s="268">
        <v>1.5959127360512072E-2</v>
      </c>
      <c r="L18" s="268">
        <v>1.6964966226475239E-2</v>
      </c>
      <c r="M18" s="268">
        <v>1.6975956008849727E-2</v>
      </c>
      <c r="N18" s="272">
        <v>2.0566271062166248E-2</v>
      </c>
      <c r="O18" s="276">
        <v>2.6678133411247806E-2</v>
      </c>
      <c r="Q18" s="271" t="s">
        <v>394</v>
      </c>
      <c r="R18" s="259">
        <f>N18</f>
        <v>2.0566271062166248E-2</v>
      </c>
      <c r="S18" s="277">
        <f>O18</f>
        <v>2.6678133411247806E-2</v>
      </c>
      <c r="T18" s="260"/>
      <c r="V18" s="261">
        <v>2016</v>
      </c>
      <c r="W18" s="153">
        <v>2.4726541964579019E-2</v>
      </c>
      <c r="Y18" s="117" t="s">
        <v>395</v>
      </c>
      <c r="Z18" s="254">
        <f>'[6]1. Demo - DHB Devolved'!D19</f>
        <v>2.0305455722412491E-2</v>
      </c>
      <c r="AA18" s="254">
        <f>'[6]1. Demo - DHB Devolved'!E19</f>
        <v>1.6855284607983467E-2</v>
      </c>
      <c r="AB18" s="254">
        <f>'[6]1. Demo - DHB Devolved'!F19</f>
        <v>2.1771186520768149E-2</v>
      </c>
      <c r="AC18" s="254">
        <f>'[6]1. Demo - DHB Devolved'!G19</f>
        <v>1.4542902112620215E-2</v>
      </c>
      <c r="AD18" s="254">
        <f>'[6]1. Demo - DHB Devolved'!H19</f>
        <v>1.6500788878227368E-2</v>
      </c>
      <c r="AE18" s="254">
        <f>'[6]1. Demo - DHB Devolved'!I19</f>
        <v>1.7526880697208425E-2</v>
      </c>
      <c r="AF18" s="254">
        <f>'[6]1. Demo - DHB Devolved'!J19</f>
        <v>1.4418027480573414E-2</v>
      </c>
      <c r="AG18" s="254">
        <f>'[6]1. Demo - DHB Devolved'!K19</f>
        <v>2.0389032460648826E-2</v>
      </c>
      <c r="AH18" s="254">
        <f>'[6]1. Demo - DHB Devolved'!L19</f>
        <v>1.2210883156163366E-2</v>
      </c>
      <c r="AI18" s="254">
        <f>'[6]1. Demo - DHB Devolved'!M19</f>
        <v>1.8573187889785459E-2</v>
      </c>
      <c r="AJ18" s="254">
        <f>'[6]1. Demo - DHB Devolved'!N19</f>
        <v>1.2417721892750144E-2</v>
      </c>
      <c r="AK18" s="254">
        <f>'[6]1. Demo - DHB Devolved'!O19</f>
        <v>1.7617846636813539E-2</v>
      </c>
      <c r="AL18" s="254">
        <f>'[6]1. Demo - DHB Devolved'!P19</f>
        <v>1.6707586489809634E-2</v>
      </c>
      <c r="AM18" s="254">
        <f>'[6]1. Demo - DHB Devolved'!Q19</f>
        <v>1.8759971448200075E-2</v>
      </c>
      <c r="AN18" s="254">
        <f>'[6]1. Demo - DHB Devolved'!R19</f>
        <v>1.611922178728542E-2</v>
      </c>
      <c r="AO18" s="254">
        <f>'[6]1. Demo - DHB Devolved'!S19</f>
        <v>1.3380833229886147E-2</v>
      </c>
      <c r="AP18" s="254">
        <f>'[6]1. Demo - DHB Devolved'!T19</f>
        <v>1.5830673725756306E-2</v>
      </c>
      <c r="AQ18" s="254">
        <f>'[6]1. Demo - DHB Devolved'!U19</f>
        <v>1.4789855316922118E-2</v>
      </c>
      <c r="AR18" s="254">
        <f>'[6]1. Demo - DHB Devolved'!V19</f>
        <v>1.9916213941065797E-2</v>
      </c>
      <c r="AU18" s="248" t="s">
        <v>396</v>
      </c>
      <c r="AV18" s="95">
        <v>17076</v>
      </c>
      <c r="AW18" s="89">
        <f t="shared" si="12"/>
        <v>-3.9004457652302982E-3</v>
      </c>
      <c r="AX18" s="95">
        <v>16968</v>
      </c>
      <c r="AY18">
        <v>2029</v>
      </c>
      <c r="AZ18" s="49">
        <v>63000</v>
      </c>
      <c r="BA18" s="56">
        <f t="shared" si="6"/>
        <v>-7.8740157480314821E-3</v>
      </c>
      <c r="BC18">
        <v>2021</v>
      </c>
      <c r="BD18" s="131">
        <f t="shared" si="13"/>
        <v>8.0645161290322509E-3</v>
      </c>
      <c r="BF18" s="248" t="s">
        <v>349</v>
      </c>
      <c r="BG18" s="95">
        <v>60220</v>
      </c>
      <c r="BH18" s="95">
        <v>61230</v>
      </c>
      <c r="BI18" s="95">
        <v>61310</v>
      </c>
      <c r="BJ18" s="95">
        <v>61740</v>
      </c>
      <c r="BK18" s="95">
        <v>62010</v>
      </c>
      <c r="BL18" s="95">
        <v>63710</v>
      </c>
      <c r="BM18" s="95">
        <v>64760</v>
      </c>
      <c r="BN18" s="95">
        <v>65700</v>
      </c>
      <c r="BO18" s="95">
        <v>66980</v>
      </c>
      <c r="BP18" s="95">
        <v>66100</v>
      </c>
      <c r="BQ18" s="95">
        <v>66140</v>
      </c>
      <c r="BR18" s="95">
        <v>63800</v>
      </c>
      <c r="BS18" s="95">
        <v>60940</v>
      </c>
      <c r="BT18" s="95">
        <v>59860</v>
      </c>
      <c r="BU18" s="95">
        <v>60200</v>
      </c>
      <c r="BV18" s="95">
        <v>59620</v>
      </c>
      <c r="BW18" s="95">
        <v>60170</v>
      </c>
      <c r="BX18" s="95">
        <v>63610</v>
      </c>
      <c r="BY18" s="95">
        <v>65480</v>
      </c>
      <c r="BZ18" s="95">
        <v>65270</v>
      </c>
      <c r="CA18" s="95">
        <v>1258900</v>
      </c>
      <c r="CB18" s="89">
        <f>CA18/CA17-1</f>
        <v>6.9588865781475828E-3</v>
      </c>
      <c r="CC18" s="95"/>
      <c r="CD18">
        <v>2025</v>
      </c>
      <c r="CE18" s="95">
        <f>SUM([5]Total!$D1881:$W1881)</f>
        <v>1295160</v>
      </c>
      <c r="CF18" s="89">
        <f t="shared" si="7"/>
        <v>4.3036266778329058E-3</v>
      </c>
      <c r="CH18">
        <v>2020</v>
      </c>
      <c r="CI18" s="131">
        <f t="shared" si="14"/>
        <v>3.9674714665447475E-3</v>
      </c>
      <c r="CL18">
        <v>2018</v>
      </c>
      <c r="CM18" s="249">
        <f>HLOOKUP($CL18,$DG$1:$DT$2,2)/1000000</f>
        <v>1331.3983385983927</v>
      </c>
      <c r="CN18" s="212">
        <f>HLOOKUP($CL18,$DG$1:$DT$2,2)/HLOOKUP($CL18-1,$DG$1:$DT$2,2)-1</f>
        <v>2.2042300075711729E-2</v>
      </c>
      <c r="CR18" s="248" t="s">
        <v>397</v>
      </c>
      <c r="CS18" s="95">
        <v>84000</v>
      </c>
      <c r="CT18" s="95">
        <v>87850</v>
      </c>
      <c r="CU18" s="95">
        <v>89420</v>
      </c>
      <c r="CV18" s="95">
        <v>92410</v>
      </c>
      <c r="CW18" s="95">
        <v>94650</v>
      </c>
      <c r="CX18" s="95">
        <v>96750</v>
      </c>
      <c r="CY18" s="95">
        <v>102540</v>
      </c>
      <c r="CZ18" s="95">
        <v>109770</v>
      </c>
      <c r="DA18" s="95">
        <v>114690</v>
      </c>
      <c r="DB18" s="95">
        <v>118950</v>
      </c>
      <c r="DC18" s="95">
        <v>122010</v>
      </c>
      <c r="DD18" s="95">
        <v>122360</v>
      </c>
      <c r="DE18" s="95">
        <v>123220</v>
      </c>
      <c r="DF18" s="95">
        <v>124770</v>
      </c>
      <c r="DG18" s="95">
        <v>126770</v>
      </c>
      <c r="DH18" s="95">
        <v>129930</v>
      </c>
      <c r="DI18" s="95">
        <v>132970</v>
      </c>
      <c r="DJ18" s="95">
        <v>135790</v>
      </c>
      <c r="DK18" s="95">
        <v>139360</v>
      </c>
      <c r="DL18" s="95">
        <v>142810</v>
      </c>
      <c r="DM18" s="95">
        <v>145790</v>
      </c>
      <c r="DN18" s="95">
        <v>148750</v>
      </c>
      <c r="DO18" s="95">
        <v>151680</v>
      </c>
      <c r="DP18" s="95">
        <v>153370</v>
      </c>
      <c r="DQ18" s="95">
        <v>153890</v>
      </c>
      <c r="DR18" s="95">
        <v>153200</v>
      </c>
      <c r="DS18" s="95">
        <v>151690</v>
      </c>
      <c r="DT18" s="95">
        <v>150970</v>
      </c>
      <c r="DU18" s="232"/>
      <c r="ED18" s="116"/>
      <c r="EE18" s="116">
        <v>2023</v>
      </c>
      <c r="EF18" s="250">
        <v>2252.0267326608227</v>
      </c>
      <c r="EG18" s="240">
        <f t="shared" si="11"/>
        <v>2.444727229609911E-2</v>
      </c>
    </row>
    <row r="19" spans="3:137" ht="15" customHeight="1">
      <c r="C19" s="271" t="s">
        <v>398</v>
      </c>
      <c r="D19" s="244"/>
      <c r="E19" s="244"/>
      <c r="F19" s="244"/>
      <c r="G19" s="244"/>
      <c r="H19" s="244"/>
      <c r="I19" s="244"/>
      <c r="J19" s="244"/>
      <c r="K19" s="268">
        <v>1.6352123413208464E-2</v>
      </c>
      <c r="L19" s="268">
        <v>1.7228547318458961E-2</v>
      </c>
      <c r="M19" s="268">
        <v>1.7431857491565412E-2</v>
      </c>
      <c r="N19" s="268">
        <v>1.8740634981518154E-2</v>
      </c>
      <c r="O19" s="272">
        <v>2.5745145925983426E-2</v>
      </c>
      <c r="Q19" s="271" t="s">
        <v>398</v>
      </c>
      <c r="R19" s="277">
        <f>O19</f>
        <v>2.5745145925983426E-2</v>
      </c>
      <c r="S19" s="259"/>
      <c r="T19" s="260"/>
      <c r="V19" s="266">
        <v>2017</v>
      </c>
      <c r="W19" s="153">
        <v>2.726768191173945E-2</v>
      </c>
      <c r="Y19" s="117" t="s">
        <v>399</v>
      </c>
      <c r="Z19" s="254">
        <f>'[6]1. Demo - DHB Devolved'!D20</f>
        <v>1.6626289830563357E-2</v>
      </c>
      <c r="AA19" s="254">
        <f>'[6]1. Demo - DHB Devolved'!E20</f>
        <v>1.9871509639313167E-2</v>
      </c>
      <c r="AB19" s="254">
        <f>'[6]1. Demo - DHB Devolved'!F20</f>
        <v>2.3100375239398785E-2</v>
      </c>
      <c r="AC19" s="254">
        <f>'[6]1. Demo - DHB Devolved'!G20</f>
        <v>2.277329037205611E-2</v>
      </c>
      <c r="AD19" s="254">
        <f>'[6]1. Demo - DHB Devolved'!H20</f>
        <v>2.2068107879760435E-2</v>
      </c>
      <c r="AE19" s="254">
        <f>'[6]1. Demo - DHB Devolved'!I20</f>
        <v>1.9650175973068063E-2</v>
      </c>
      <c r="AF19" s="254">
        <f>'[6]1. Demo - DHB Devolved'!J20</f>
        <v>1.8309016648193621E-2</v>
      </c>
      <c r="AG19" s="254">
        <f>'[6]1. Demo - DHB Devolved'!K20</f>
        <v>1.6178901708262972E-2</v>
      </c>
      <c r="AH19" s="254">
        <f>'[6]1. Demo - DHB Devolved'!L20</f>
        <v>1.5239602386480033E-2</v>
      </c>
      <c r="AI19" s="254">
        <f>'[6]1. Demo - DHB Devolved'!M20</f>
        <v>1.4164698876758308E-2</v>
      </c>
      <c r="AJ19" s="254">
        <f>'[6]1. Demo - DHB Devolved'!N20</f>
        <v>1.5805319245486116E-2</v>
      </c>
      <c r="AK19" s="254">
        <f>'[6]1. Demo - DHB Devolved'!O20</f>
        <v>1.6575235697690927E-2</v>
      </c>
      <c r="AL19" s="254">
        <f>'[6]1. Demo - DHB Devolved'!P20</f>
        <v>1.8549660732731121E-2</v>
      </c>
      <c r="AM19" s="254">
        <f>'[6]1. Demo - DHB Devolved'!Q20</f>
        <v>1.7883695354645956E-2</v>
      </c>
      <c r="AN19" s="254">
        <f>'[6]1. Demo - DHB Devolved'!R20</f>
        <v>1.58006534500299E-2</v>
      </c>
      <c r="AO19" s="254">
        <f>'[6]1. Demo - DHB Devolved'!S20</f>
        <v>1.561169982187427E-2</v>
      </c>
      <c r="AP19" s="254">
        <f>'[6]1. Demo - DHB Devolved'!T20</f>
        <v>1.6049195687325879E-2</v>
      </c>
      <c r="AQ19" s="254">
        <f>'[6]1. Demo - DHB Devolved'!U20</f>
        <v>1.7664649161700074E-2</v>
      </c>
      <c r="AR19" s="254">
        <f>'[6]1. Demo - DHB Devolved'!V20</f>
        <v>1.7359273753440263E-2</v>
      </c>
      <c r="AU19" s="248" t="s">
        <v>400</v>
      </c>
      <c r="AV19" s="95">
        <v>15741</v>
      </c>
      <c r="AW19" s="89">
        <f t="shared" si="12"/>
        <v>1.8745562130177529E-2</v>
      </c>
      <c r="AX19" s="95">
        <v>15624</v>
      </c>
      <c r="AY19">
        <v>2030</v>
      </c>
      <c r="AZ19" s="49">
        <v>62600</v>
      </c>
      <c r="BA19" s="56">
        <f t="shared" si="6"/>
        <v>-6.3492063492063266E-3</v>
      </c>
      <c r="BC19">
        <v>2022</v>
      </c>
      <c r="BD19" s="131">
        <f t="shared" si="13"/>
        <v>6.3999999999999613E-3</v>
      </c>
      <c r="BF19" s="278" t="s">
        <v>401</v>
      </c>
      <c r="BG19" s="278"/>
      <c r="BH19" s="278"/>
      <c r="BI19" s="278"/>
      <c r="BJ19" s="278"/>
      <c r="BK19" s="278"/>
      <c r="BL19" s="278"/>
      <c r="BM19" s="278"/>
      <c r="BN19" s="278"/>
      <c r="BO19" s="278"/>
      <c r="BP19" s="278"/>
      <c r="BQ19" s="278"/>
      <c r="BR19" s="278"/>
      <c r="BS19" s="278"/>
      <c r="BT19" s="278"/>
      <c r="BU19" s="278"/>
      <c r="BV19" s="278"/>
      <c r="BW19" s="278"/>
      <c r="BX19" s="278"/>
      <c r="BY19" s="278"/>
      <c r="BZ19" s="278"/>
      <c r="CA19" s="278"/>
      <c r="CD19">
        <v>2026</v>
      </c>
      <c r="CE19" s="95">
        <f>SUM([5]Total!$D1882:$W1882)</f>
        <v>1299780</v>
      </c>
      <c r="CF19" s="89">
        <f t="shared" si="7"/>
        <v>3.5671268414714241E-3</v>
      </c>
      <c r="CH19">
        <v>2021</v>
      </c>
      <c r="CI19" s="131">
        <f t="shared" si="14"/>
        <v>3.0875836711605764E-3</v>
      </c>
      <c r="CL19">
        <v>2019</v>
      </c>
      <c r="CM19" s="279">
        <f>'[8]1. Demo - DHB Devolved'!$H10</f>
        <v>1347.1093424668315</v>
      </c>
      <c r="CN19" s="280">
        <f>'[8]1. Demo - DHB Devolved'!$I10</f>
        <v>1.7393679860717493E-2</v>
      </c>
      <c r="CO19" s="281" t="s">
        <v>402</v>
      </c>
      <c r="CR19" s="248" t="s">
        <v>403</v>
      </c>
      <c r="CS19" s="95">
        <v>72110</v>
      </c>
      <c r="CT19" s="95">
        <v>72120</v>
      </c>
      <c r="CU19" s="95">
        <v>73010</v>
      </c>
      <c r="CV19" s="95">
        <v>74640</v>
      </c>
      <c r="CW19" s="95">
        <v>77680</v>
      </c>
      <c r="CX19" s="95">
        <v>81790</v>
      </c>
      <c r="CY19" s="95">
        <v>85840</v>
      </c>
      <c r="CZ19" s="95">
        <v>87430</v>
      </c>
      <c r="DA19" s="95">
        <v>90450</v>
      </c>
      <c r="DB19" s="95">
        <v>92340</v>
      </c>
      <c r="DC19" s="95">
        <v>93970</v>
      </c>
      <c r="DD19" s="95">
        <v>99710</v>
      </c>
      <c r="DE19" s="95">
        <v>107040</v>
      </c>
      <c r="DF19" s="95">
        <v>112130</v>
      </c>
      <c r="DG19" s="95">
        <v>116700</v>
      </c>
      <c r="DH19" s="95">
        <v>120080</v>
      </c>
      <c r="DI19" s="95">
        <v>120230</v>
      </c>
      <c r="DJ19" s="95">
        <v>120640</v>
      </c>
      <c r="DK19" s="95">
        <v>122030</v>
      </c>
      <c r="DL19" s="95">
        <v>123940</v>
      </c>
      <c r="DM19" s="95">
        <v>126520</v>
      </c>
      <c r="DN19" s="95">
        <v>129380</v>
      </c>
      <c r="DO19" s="95">
        <v>132170</v>
      </c>
      <c r="DP19" s="95">
        <v>135850</v>
      </c>
      <c r="DQ19" s="95">
        <v>139450</v>
      </c>
      <c r="DR19" s="95">
        <v>143250</v>
      </c>
      <c r="DS19" s="95">
        <v>147130</v>
      </c>
      <c r="DT19" s="95">
        <v>150880</v>
      </c>
      <c r="DU19" s="232"/>
      <c r="ED19" s="116"/>
      <c r="EE19" s="231">
        <v>2024</v>
      </c>
      <c r="EF19" s="250">
        <v>2308.2041675865012</v>
      </c>
      <c r="EG19" s="240">
        <f t="shared" si="11"/>
        <v>2.4945278895203593E-2</v>
      </c>
    </row>
    <row r="20" spans="3:137" ht="15" customHeight="1">
      <c r="C20" s="271" t="s">
        <v>404</v>
      </c>
      <c r="D20" s="244"/>
      <c r="E20" s="244"/>
      <c r="F20" s="244"/>
      <c r="G20" s="244"/>
      <c r="H20" s="244"/>
      <c r="I20" s="244"/>
      <c r="J20" s="244"/>
      <c r="K20" s="268">
        <v>1.6009437458312386E-2</v>
      </c>
      <c r="L20" s="268">
        <v>1.6903689013923379E-2</v>
      </c>
      <c r="M20" s="268">
        <v>1.7178274918019147E-2</v>
      </c>
      <c r="N20" s="268">
        <v>1.7011204271610014E-2</v>
      </c>
      <c r="O20" s="275">
        <v>2.1774452455689763E-2</v>
      </c>
      <c r="V20" s="261">
        <v>2018</v>
      </c>
      <c r="W20" s="153">
        <v>2.65869249349866E-2</v>
      </c>
      <c r="Y20" s="117" t="s">
        <v>405</v>
      </c>
      <c r="Z20" s="254">
        <f>'[6]1. Demo - DHB Devolved'!D21</f>
        <v>1.1711159481146982E-2</v>
      </c>
      <c r="AA20" s="254">
        <f>'[6]1. Demo - DHB Devolved'!E21</f>
        <v>1.3162669696229479E-2</v>
      </c>
      <c r="AB20" s="254">
        <f>'[6]1. Demo - DHB Devolved'!F21</f>
        <v>1.9309029487448948E-2</v>
      </c>
      <c r="AC20" s="254">
        <f>'[6]1. Demo - DHB Devolved'!G21</f>
        <v>2.0016279235511858E-2</v>
      </c>
      <c r="AD20" s="254">
        <f>'[6]1. Demo - DHB Devolved'!H21</f>
        <v>1.6847249811280163E-2</v>
      </c>
      <c r="AE20" s="254">
        <f>'[6]1. Demo - DHB Devolved'!I21</f>
        <v>1.6899774711166993E-2</v>
      </c>
      <c r="AF20" s="254">
        <f>'[6]1. Demo - DHB Devolved'!J21</f>
        <v>1.3571614989464686E-2</v>
      </c>
      <c r="AG20" s="254">
        <f>'[6]1. Demo - DHB Devolved'!K21</f>
        <v>1.4559196886273496E-2</v>
      </c>
      <c r="AH20" s="254">
        <f>'[6]1. Demo - DHB Devolved'!L21</f>
        <v>1.5917624560191523E-2</v>
      </c>
      <c r="AI20" s="254">
        <f>'[6]1. Demo - DHB Devolved'!M21</f>
        <v>1.2107476651626037E-2</v>
      </c>
      <c r="AJ20" s="254">
        <f>'[6]1. Demo - DHB Devolved'!N21</f>
        <v>1.6435129925316261E-2</v>
      </c>
      <c r="AK20" s="254">
        <f>'[6]1. Demo - DHB Devolved'!O21</f>
        <v>1.2847749982018097E-2</v>
      </c>
      <c r="AL20" s="254">
        <f>'[6]1. Demo - DHB Devolved'!P21</f>
        <v>1.7334182792473118E-2</v>
      </c>
      <c r="AM20" s="254">
        <f>'[6]1. Demo - DHB Devolved'!Q21</f>
        <v>1.6148128337351464E-2</v>
      </c>
      <c r="AN20" s="254">
        <f>'[6]1. Demo - DHB Devolved'!R21</f>
        <v>1.4950569635536093E-2</v>
      </c>
      <c r="AO20" s="254">
        <f>'[6]1. Demo - DHB Devolved'!S21</f>
        <v>1.1544007567834802E-2</v>
      </c>
      <c r="AP20" s="254">
        <f>'[6]1. Demo - DHB Devolved'!T21</f>
        <v>1.3468306212373715E-2</v>
      </c>
      <c r="AQ20" s="254">
        <f>'[6]1. Demo - DHB Devolved'!U21</f>
        <v>1.6198251036142253E-2</v>
      </c>
      <c r="AR20" s="254">
        <f>'[6]1. Demo - DHB Devolved'!V21</f>
        <v>1.335267652923644E-2</v>
      </c>
      <c r="AU20" s="248" t="s">
        <v>406</v>
      </c>
      <c r="AV20" s="95">
        <v>16029</v>
      </c>
      <c r="AW20" s="89">
        <f t="shared" si="12"/>
        <v>9.9626988998535726E-3</v>
      </c>
      <c r="AX20" s="95">
        <v>15924</v>
      </c>
      <c r="AY20">
        <v>2031</v>
      </c>
      <c r="AZ20" s="49">
        <v>62300</v>
      </c>
      <c r="BA20" s="56">
        <f t="shared" si="6"/>
        <v>-4.7923322683706138E-3</v>
      </c>
      <c r="BC20">
        <v>2023</v>
      </c>
      <c r="BD20" s="131">
        <f t="shared" si="13"/>
        <v>3.1796502384737746E-3</v>
      </c>
      <c r="BF20" s="282" t="s">
        <v>407</v>
      </c>
      <c r="BG20" s="282"/>
      <c r="BH20" s="282"/>
      <c r="BI20" s="282"/>
      <c r="BJ20" s="282"/>
      <c r="BK20" s="282"/>
      <c r="BL20" s="282"/>
      <c r="BM20" s="282"/>
      <c r="BN20" s="282"/>
      <c r="BO20" s="282"/>
      <c r="BP20" s="282"/>
      <c r="BQ20" s="282"/>
      <c r="BR20" s="282"/>
      <c r="BS20" s="282"/>
      <c r="BT20" s="282"/>
      <c r="BU20" s="282"/>
      <c r="BV20" s="282"/>
      <c r="BW20" s="282"/>
      <c r="BX20" s="282"/>
      <c r="BY20" s="282"/>
      <c r="BZ20" s="282"/>
      <c r="CA20" s="282"/>
      <c r="CD20">
        <v>2027</v>
      </c>
      <c r="CE20" s="95">
        <f>SUM([5]Total!$D1883:$W1883)</f>
        <v>1301130</v>
      </c>
      <c r="CF20" s="89">
        <f t="shared" si="7"/>
        <v>1.0386373078521416E-3</v>
      </c>
      <c r="CH20">
        <v>2022</v>
      </c>
      <c r="CI20" s="131">
        <f t="shared" si="14"/>
        <v>3.2973832405209791E-3</v>
      </c>
      <c r="CL20">
        <v>2020</v>
      </c>
      <c r="CM20" s="279">
        <f>'[8]1. Demo - DHB Devolved'!$H11</f>
        <v>1367.1993172384828</v>
      </c>
      <c r="CN20" s="280">
        <f>'[8]1. Demo - DHB Devolved'!$I11</f>
        <v>1.4913395771468885E-2</v>
      </c>
      <c r="CR20" s="248" t="s">
        <v>408</v>
      </c>
      <c r="CS20" s="95">
        <v>73370</v>
      </c>
      <c r="CT20" s="95">
        <v>72660</v>
      </c>
      <c r="CU20" s="95">
        <v>71540</v>
      </c>
      <c r="CV20" s="95">
        <v>70480</v>
      </c>
      <c r="CW20" s="95">
        <v>69530</v>
      </c>
      <c r="CX20" s="95">
        <v>68310</v>
      </c>
      <c r="CY20" s="95">
        <v>68620</v>
      </c>
      <c r="CZ20" s="95">
        <v>69930</v>
      </c>
      <c r="DA20" s="95">
        <v>71730</v>
      </c>
      <c r="DB20" s="95">
        <v>74920</v>
      </c>
      <c r="DC20" s="95">
        <v>79230</v>
      </c>
      <c r="DD20" s="95">
        <v>83040</v>
      </c>
      <c r="DE20" s="95">
        <v>84630</v>
      </c>
      <c r="DF20" s="95">
        <v>87800</v>
      </c>
      <c r="DG20" s="95">
        <v>89970</v>
      </c>
      <c r="DH20" s="95">
        <v>91900</v>
      </c>
      <c r="DI20" s="95">
        <v>97250</v>
      </c>
      <c r="DJ20" s="95">
        <v>104250</v>
      </c>
      <c r="DK20" s="95">
        <v>109120</v>
      </c>
      <c r="DL20" s="95">
        <v>113630</v>
      </c>
      <c r="DM20" s="95">
        <v>117170</v>
      </c>
      <c r="DN20" s="95">
        <v>117370</v>
      </c>
      <c r="DO20" s="95">
        <v>117900</v>
      </c>
      <c r="DP20" s="95">
        <v>119500</v>
      </c>
      <c r="DQ20" s="95">
        <v>121650</v>
      </c>
      <c r="DR20" s="95">
        <v>124650</v>
      </c>
      <c r="DS20" s="95">
        <v>128250</v>
      </c>
      <c r="DT20" s="95">
        <v>131400</v>
      </c>
      <c r="DU20" s="232"/>
      <c r="ED20" s="116"/>
      <c r="EE20" s="116">
        <v>2025</v>
      </c>
      <c r="EF20" s="250">
        <v>2365.5496830137968</v>
      </c>
      <c r="EG20" s="240">
        <f t="shared" si="11"/>
        <v>2.4844212757512363E-2</v>
      </c>
    </row>
    <row r="21" spans="3:137" ht="15" customHeight="1">
      <c r="C21" s="271" t="s">
        <v>409</v>
      </c>
      <c r="D21" s="244"/>
      <c r="E21" s="244"/>
      <c r="F21" s="244"/>
      <c r="G21" s="244"/>
      <c r="H21" s="244"/>
      <c r="I21" s="244"/>
      <c r="J21" s="244"/>
      <c r="K21" s="268">
        <v>1.5388370085528198E-2</v>
      </c>
      <c r="L21" s="268">
        <v>1.6722052632913202E-2</v>
      </c>
      <c r="M21" s="268">
        <v>1.694124912592496E-2</v>
      </c>
      <c r="N21" s="268">
        <v>1.6656003192908136E-2</v>
      </c>
      <c r="O21" s="275">
        <v>1.9734437948430328E-2</v>
      </c>
      <c r="Q21" s="283"/>
      <c r="R21" t="s">
        <v>410</v>
      </c>
      <c r="V21" s="266">
        <v>2019</v>
      </c>
      <c r="W21" s="153">
        <v>2.4621636973036987E-2</v>
      </c>
      <c r="Y21" s="117" t="s">
        <v>411</v>
      </c>
      <c r="Z21" s="254">
        <f>'[6]1. Demo - DHB Devolved'!D22</f>
        <v>1.4422896107760819E-2</v>
      </c>
      <c r="AA21" s="254">
        <f>'[6]1. Demo - DHB Devolved'!E22</f>
        <v>1.1529760008383017E-2</v>
      </c>
      <c r="AB21" s="254">
        <f>'[6]1. Demo - DHB Devolved'!F22</f>
        <v>1.7359508506517018E-2</v>
      </c>
      <c r="AC21" s="254">
        <f>'[6]1. Demo - DHB Devolved'!G22</f>
        <v>1.9390815942461614E-2</v>
      </c>
      <c r="AD21" s="254">
        <f>'[6]1. Demo - DHB Devolved'!H22</f>
        <v>2.0723546711823859E-2</v>
      </c>
      <c r="AE21" s="254">
        <f>'[6]1. Demo - DHB Devolved'!I22</f>
        <v>1.6217715342159433E-2</v>
      </c>
      <c r="AF21" s="254">
        <f>'[6]1. Demo - DHB Devolved'!J22</f>
        <v>1.3448266500430517E-2</v>
      </c>
      <c r="AG21" s="254">
        <f>'[6]1. Demo - DHB Devolved'!K22</f>
        <v>1.5367050483102496E-2</v>
      </c>
      <c r="AH21" s="254">
        <f>'[6]1. Demo - DHB Devolved'!L22</f>
        <v>1.5053540664984322E-2</v>
      </c>
      <c r="AI21" s="254">
        <f>'[6]1. Demo - DHB Devolved'!M22</f>
        <v>1.5647908951089251E-2</v>
      </c>
      <c r="AJ21" s="254">
        <f>'[6]1. Demo - DHB Devolved'!N22</f>
        <v>1.410123550935749E-2</v>
      </c>
      <c r="AK21" s="254">
        <f>'[6]1. Demo - DHB Devolved'!O22</f>
        <v>1.6621919673047714E-2</v>
      </c>
      <c r="AL21" s="254">
        <f>'[6]1. Demo - DHB Devolved'!P22</f>
        <v>1.7104954814402884E-2</v>
      </c>
      <c r="AM21" s="254">
        <f>'[6]1. Demo - DHB Devolved'!Q22</f>
        <v>1.7058115676721997E-2</v>
      </c>
      <c r="AN21" s="254">
        <f>'[6]1. Demo - DHB Devolved'!R22</f>
        <v>1.5942825529608129E-2</v>
      </c>
      <c r="AO21" s="254">
        <f>'[6]1. Demo - DHB Devolved'!S22</f>
        <v>1.6918719548550731E-2</v>
      </c>
      <c r="AP21" s="254">
        <f>'[6]1. Demo - DHB Devolved'!T22</f>
        <v>1.5668589596723237E-2</v>
      </c>
      <c r="AQ21" s="254">
        <f>'[6]1. Demo - DHB Devolved'!U22</f>
        <v>1.685541075474184E-2</v>
      </c>
      <c r="AR21" s="254">
        <f>'[6]1. Demo - DHB Devolved'!V22</f>
        <v>1.5299534804791071E-2</v>
      </c>
      <c r="AU21" s="248" t="s">
        <v>412</v>
      </c>
      <c r="AV21" s="95">
        <v>15474</v>
      </c>
      <c r="AW21" s="89">
        <f t="shared" si="12"/>
        <v>2.2169249106078759E-2</v>
      </c>
      <c r="AX21" s="95">
        <v>15381</v>
      </c>
      <c r="AY21">
        <v>2032</v>
      </c>
      <c r="AZ21" s="49">
        <v>61900</v>
      </c>
      <c r="BA21" s="56">
        <f t="shared" si="6"/>
        <v>-6.4205457463883953E-3</v>
      </c>
      <c r="BC21">
        <v>2024</v>
      </c>
      <c r="BD21" s="131">
        <f t="shared" si="13"/>
        <v>7.923930269413626E-3</v>
      </c>
      <c r="BF21" s="282" t="s">
        <v>413</v>
      </c>
      <c r="BG21" s="282"/>
      <c r="BH21" s="282"/>
      <c r="BI21" s="282"/>
      <c r="BJ21" s="282"/>
      <c r="BK21" s="282"/>
      <c r="BL21" s="282"/>
      <c r="BM21" s="282"/>
      <c r="BN21" s="282"/>
      <c r="BO21" s="282"/>
      <c r="BP21" s="282"/>
      <c r="BQ21" s="282"/>
      <c r="BR21" s="282"/>
      <c r="BS21" s="282"/>
      <c r="BT21" s="282"/>
      <c r="BU21" s="282"/>
      <c r="BV21" s="282"/>
      <c r="BW21" s="282"/>
      <c r="BX21" s="282"/>
      <c r="BY21" s="282"/>
      <c r="BZ21" s="282"/>
      <c r="CA21" s="282"/>
      <c r="CD21">
        <v>2028</v>
      </c>
      <c r="CE21" s="95">
        <f>SUM([5]Total!$D1884:$W1884)</f>
        <v>1299220</v>
      </c>
      <c r="CF21" s="89">
        <f t="shared" si="7"/>
        <v>-1.4679547777700641E-3</v>
      </c>
      <c r="CH21">
        <v>2023</v>
      </c>
      <c r="CI21" s="131">
        <f t="shared" si="14"/>
        <v>3.427063654389606E-3</v>
      </c>
      <c r="CL21">
        <v>2021</v>
      </c>
      <c r="CM21" s="279">
        <f>'[8]1. Demo - DHB Devolved'!$H12</f>
        <v>1384.2599240162128</v>
      </c>
      <c r="CN21" s="280">
        <f>'[8]1. Demo - DHB Devolved'!$I12</f>
        <v>1.247850738558709E-2</v>
      </c>
      <c r="CR21" s="248" t="s">
        <v>414</v>
      </c>
      <c r="CS21" s="95">
        <v>62450</v>
      </c>
      <c r="CT21" s="95">
        <v>63520</v>
      </c>
      <c r="CU21" s="95">
        <v>64730</v>
      </c>
      <c r="CV21" s="95">
        <v>65720</v>
      </c>
      <c r="CW21" s="95">
        <v>65900</v>
      </c>
      <c r="CX21" s="95">
        <v>66320</v>
      </c>
      <c r="CY21" s="95">
        <v>65940</v>
      </c>
      <c r="CZ21" s="95">
        <v>65090</v>
      </c>
      <c r="DA21" s="95">
        <v>64630</v>
      </c>
      <c r="DB21" s="95">
        <v>64190</v>
      </c>
      <c r="DC21" s="95">
        <v>63810</v>
      </c>
      <c r="DD21" s="95">
        <v>64550</v>
      </c>
      <c r="DE21" s="95">
        <v>66080</v>
      </c>
      <c r="DF21" s="95">
        <v>67890</v>
      </c>
      <c r="DG21" s="95">
        <v>71230</v>
      </c>
      <c r="DH21" s="95">
        <v>75620</v>
      </c>
      <c r="DI21" s="95">
        <v>79310</v>
      </c>
      <c r="DJ21" s="95">
        <v>80610</v>
      </c>
      <c r="DK21" s="95">
        <v>83710</v>
      </c>
      <c r="DL21" s="95">
        <v>85880</v>
      </c>
      <c r="DM21" s="95">
        <v>88050</v>
      </c>
      <c r="DN21" s="95">
        <v>93450</v>
      </c>
      <c r="DO21" s="95">
        <v>100570</v>
      </c>
      <c r="DP21" s="95">
        <v>105690</v>
      </c>
      <c r="DQ21" s="95">
        <v>110220</v>
      </c>
      <c r="DR21" s="95">
        <v>114020</v>
      </c>
      <c r="DS21" s="95">
        <v>114570</v>
      </c>
      <c r="DT21" s="95">
        <v>115320</v>
      </c>
      <c r="DU21" s="232"/>
      <c r="ED21" s="116"/>
      <c r="EE21" s="231">
        <v>2026</v>
      </c>
      <c r="EF21" s="250">
        <v>2424.3264095266609</v>
      </c>
      <c r="EG21" s="240">
        <f t="shared" si="11"/>
        <v>2.4846963449941306E-2</v>
      </c>
    </row>
    <row r="22" spans="3:137" ht="15" customHeight="1">
      <c r="C22" s="271" t="s">
        <v>415</v>
      </c>
      <c r="D22" s="244"/>
      <c r="E22" s="244"/>
      <c r="F22" s="244"/>
      <c r="G22" s="244"/>
      <c r="H22" s="244"/>
      <c r="I22" s="244"/>
      <c r="J22" s="244"/>
      <c r="K22" s="268">
        <v>1.5375239233204109E-2</v>
      </c>
      <c r="L22" s="268">
        <v>1.6949999695369117E-2</v>
      </c>
      <c r="M22" s="268">
        <v>1.7085974062910413E-2</v>
      </c>
      <c r="N22" s="274">
        <v>1.7356566669774948E-2</v>
      </c>
      <c r="O22" s="276">
        <v>1.9653568778908559E-2</v>
      </c>
      <c r="R22" t="s">
        <v>416</v>
      </c>
      <c r="V22" s="261">
        <v>2020</v>
      </c>
      <c r="W22" s="153">
        <v>2.3278682332490863E-2</v>
      </c>
      <c r="Y22" s="117" t="s">
        <v>417</v>
      </c>
      <c r="Z22" s="254">
        <f>'[6]1. Demo - DHB Devolved'!D23</f>
        <v>2.0730771155436534E-2</v>
      </c>
      <c r="AA22" s="254">
        <f>'[6]1. Demo - DHB Devolved'!E23</f>
        <v>2.5464723496640307E-2</v>
      </c>
      <c r="AB22" s="254">
        <f>'[6]1. Demo - DHB Devolved'!F23</f>
        <v>2.9525684507342387E-2</v>
      </c>
      <c r="AC22" s="254">
        <f>'[6]1. Demo - DHB Devolved'!G23</f>
        <v>2.8050378440437118E-2</v>
      </c>
      <c r="AD22" s="254">
        <f>'[6]1. Demo - DHB Devolved'!H23</f>
        <v>2.4334668846273111E-2</v>
      </c>
      <c r="AE22" s="254">
        <f>'[6]1. Demo - DHB Devolved'!I23</f>
        <v>2.3354466494669657E-2</v>
      </c>
      <c r="AF22" s="254">
        <f>'[6]1. Demo - DHB Devolved'!J23</f>
        <v>2.2583054680978654E-2</v>
      </c>
      <c r="AG22" s="254">
        <f>'[6]1. Demo - DHB Devolved'!K23</f>
        <v>2.1340717345275539E-2</v>
      </c>
      <c r="AH22" s="254">
        <f>'[6]1. Demo - DHB Devolved'!L23</f>
        <v>1.942053272167743E-2</v>
      </c>
      <c r="AI22" s="254">
        <f>'[6]1. Demo - DHB Devolved'!M23</f>
        <v>1.8990672980757628E-2</v>
      </c>
      <c r="AJ22" s="254">
        <f>'[6]1. Demo - DHB Devolved'!N23</f>
        <v>1.9477439015778364E-2</v>
      </c>
      <c r="AK22" s="254">
        <f>'[6]1. Demo - DHB Devolved'!O23</f>
        <v>2.0508736194150279E-2</v>
      </c>
      <c r="AL22" s="254">
        <f>'[6]1. Demo - DHB Devolved'!P23</f>
        <v>2.1499367863115681E-2</v>
      </c>
      <c r="AM22" s="254">
        <f>'[6]1. Demo - DHB Devolved'!Q23</f>
        <v>2.0454017958343007E-2</v>
      </c>
      <c r="AN22" s="254">
        <f>'[6]1. Demo - DHB Devolved'!R23</f>
        <v>1.938701963003675E-2</v>
      </c>
      <c r="AO22" s="254">
        <f>'[6]1. Demo - DHB Devolved'!S23</f>
        <v>1.9042089434833764E-2</v>
      </c>
      <c r="AP22" s="254">
        <f>'[6]1. Demo - DHB Devolved'!T23</f>
        <v>1.9628179400083878E-2</v>
      </c>
      <c r="AQ22" s="254">
        <f>'[6]1. Demo - DHB Devolved'!U23</f>
        <v>1.9665545035714826E-2</v>
      </c>
      <c r="AR22" s="254">
        <f>'[6]1. Demo - DHB Devolved'!V23</f>
        <v>1.9526942711501016E-2</v>
      </c>
      <c r="AU22" s="248" t="s">
        <v>418</v>
      </c>
      <c r="AV22" s="95">
        <v>16359</v>
      </c>
      <c r="AW22" s="89">
        <f t="shared" si="12"/>
        <v>-1.1700540742121901E-2</v>
      </c>
      <c r="AX22" s="95">
        <v>16254</v>
      </c>
      <c r="AY22">
        <v>2033</v>
      </c>
      <c r="AZ22" s="49">
        <v>61500</v>
      </c>
      <c r="BA22" s="56">
        <f t="shared" si="6"/>
        <v>-6.4620355411955099E-3</v>
      </c>
      <c r="BC22">
        <v>2025</v>
      </c>
      <c r="BD22" s="131">
        <f t="shared" si="13"/>
        <v>9.4339622641510523E-3</v>
      </c>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D22">
        <v>2029</v>
      </c>
      <c r="CE22" s="95">
        <f>SUM([5]Total!$D1885:$W1885)</f>
        <v>1296800</v>
      </c>
      <c r="CF22" s="89">
        <f t="shared" si="7"/>
        <v>-1.8626560551715521E-3</v>
      </c>
      <c r="CH22">
        <v>2024</v>
      </c>
      <c r="CI22" s="131">
        <f t="shared" si="14"/>
        <v>3.298661085912924E-3</v>
      </c>
      <c r="CL22">
        <v>2022</v>
      </c>
      <c r="CM22" s="279">
        <f>'[8]1. Demo - DHB Devolved'!$H13</f>
        <v>1398.6676389551183</v>
      </c>
      <c r="CN22" s="280">
        <f>'[8]1. Demo - DHB Devolved'!$I13</f>
        <v>1.0408243920768667E-2</v>
      </c>
      <c r="CR22" s="248" t="s">
        <v>419</v>
      </c>
      <c r="CS22" s="95">
        <v>44810</v>
      </c>
      <c r="CT22" s="95">
        <v>46430</v>
      </c>
      <c r="CU22" s="95">
        <v>48340</v>
      </c>
      <c r="CV22" s="95">
        <v>50260</v>
      </c>
      <c r="CW22" s="95">
        <v>51700</v>
      </c>
      <c r="CX22" s="95">
        <v>52800</v>
      </c>
      <c r="CY22" s="95">
        <v>53910</v>
      </c>
      <c r="CZ22" s="95">
        <v>55220</v>
      </c>
      <c r="DA22" s="95">
        <v>56140</v>
      </c>
      <c r="DB22" s="95">
        <v>56700</v>
      </c>
      <c r="DC22" s="95">
        <v>57460</v>
      </c>
      <c r="DD22" s="95">
        <v>57580</v>
      </c>
      <c r="DE22" s="95">
        <v>57320</v>
      </c>
      <c r="DF22" s="95">
        <v>57270</v>
      </c>
      <c r="DG22" s="95">
        <v>57300</v>
      </c>
      <c r="DH22" s="95">
        <v>57380</v>
      </c>
      <c r="DI22" s="95">
        <v>58230</v>
      </c>
      <c r="DJ22" s="95">
        <v>59950</v>
      </c>
      <c r="DK22" s="95">
        <v>61680</v>
      </c>
      <c r="DL22" s="95">
        <v>64810</v>
      </c>
      <c r="DM22" s="95">
        <v>68790</v>
      </c>
      <c r="DN22" s="95">
        <v>72480</v>
      </c>
      <c r="DO22" s="95">
        <v>74040</v>
      </c>
      <c r="DP22" s="95">
        <v>77250</v>
      </c>
      <c r="DQ22" s="95">
        <v>79580</v>
      </c>
      <c r="DR22" s="95">
        <v>81910</v>
      </c>
      <c r="DS22" s="95">
        <v>87580</v>
      </c>
      <c r="DT22" s="95">
        <v>94430</v>
      </c>
      <c r="DU22" s="232"/>
      <c r="ED22" s="116"/>
      <c r="EE22" s="116">
        <v>2027</v>
      </c>
      <c r="EF22" s="250">
        <v>2484.0142890237858</v>
      </c>
      <c r="EG22" s="240">
        <f t="shared" si="11"/>
        <v>2.4620397345248124E-2</v>
      </c>
    </row>
    <row r="23" spans="3:137" ht="15" customHeight="1">
      <c r="C23" s="271" t="s">
        <v>420</v>
      </c>
      <c r="D23" s="244"/>
      <c r="E23" s="244"/>
      <c r="F23" s="244"/>
      <c r="G23" s="244"/>
      <c r="H23" s="244"/>
      <c r="I23" s="244"/>
      <c r="J23" s="244"/>
      <c r="K23" s="268">
        <v>1.5485922595447751E-2</v>
      </c>
      <c r="L23" s="268">
        <v>1.713236569939813E-2</v>
      </c>
      <c r="M23" s="268">
        <v>1.716387476964604E-2</v>
      </c>
      <c r="N23" s="268">
        <v>1.7739850800169588E-2</v>
      </c>
      <c r="O23" s="275">
        <v>1.9764744110727595E-2</v>
      </c>
      <c r="R23" t="s">
        <v>421</v>
      </c>
      <c r="V23" s="266">
        <v>2021</v>
      </c>
      <c r="W23" s="153">
        <v>2.1987078414496208E-2</v>
      </c>
      <c r="Y23" s="117" t="s">
        <v>422</v>
      </c>
      <c r="Z23" s="254">
        <f>'[6]1. Demo - DHB Devolved'!D24</f>
        <v>1.3193139884289051E-2</v>
      </c>
      <c r="AA23" s="254">
        <f>'[6]1. Demo - DHB Devolved'!E24</f>
        <v>1.8663653883080222E-2</v>
      </c>
      <c r="AB23" s="254">
        <f>'[6]1. Demo - DHB Devolved'!F24</f>
        <v>2.4685001937412521E-2</v>
      </c>
      <c r="AC23" s="254">
        <f>'[6]1. Demo - DHB Devolved'!G24</f>
        <v>3.0090999306426669E-2</v>
      </c>
      <c r="AD23" s="254">
        <f>'[6]1. Demo - DHB Devolved'!H24</f>
        <v>2.9491486015623014E-2</v>
      </c>
      <c r="AE23" s="254">
        <f>'[6]1. Demo - DHB Devolved'!I24</f>
        <v>2.1914937711608795E-2</v>
      </c>
      <c r="AF23" s="254">
        <f>'[6]1. Demo - DHB Devolved'!J24</f>
        <v>1.6257601547595479E-2</v>
      </c>
      <c r="AG23" s="254">
        <f>'[6]1. Demo - DHB Devolved'!K24</f>
        <v>1.9697553619042019E-2</v>
      </c>
      <c r="AH23" s="254">
        <f>'[6]1. Demo - DHB Devolved'!L24</f>
        <v>1.573012997124934E-2</v>
      </c>
      <c r="AI23" s="254">
        <f>'[6]1. Demo - DHB Devolved'!M24</f>
        <v>1.6195222642442442E-2</v>
      </c>
      <c r="AJ23" s="254">
        <f>'[6]1. Demo - DHB Devolved'!N24</f>
        <v>1.6001580207169352E-2</v>
      </c>
      <c r="AK23" s="254">
        <f>'[6]1. Demo - DHB Devolved'!O24</f>
        <v>1.6970241380077633E-2</v>
      </c>
      <c r="AL23" s="254">
        <f>'[6]1. Demo - DHB Devolved'!P24</f>
        <v>2.0402404782783767E-2</v>
      </c>
      <c r="AM23" s="254">
        <f>'[6]1. Demo - DHB Devolved'!Q24</f>
        <v>1.7429078876514792E-2</v>
      </c>
      <c r="AN23" s="254">
        <f>'[6]1. Demo - DHB Devolved'!R24</f>
        <v>1.5040121896785941E-2</v>
      </c>
      <c r="AO23" s="254">
        <f>'[6]1. Demo - DHB Devolved'!S24</f>
        <v>1.8614845536391478E-2</v>
      </c>
      <c r="AP23" s="254">
        <f>'[6]1. Demo - DHB Devolved'!T24</f>
        <v>1.4888917560546888E-2</v>
      </c>
      <c r="AQ23" s="254">
        <f>'[6]1. Demo - DHB Devolved'!U24</f>
        <v>1.8235154158511957E-2</v>
      </c>
      <c r="AR23" s="254">
        <f>'[6]1. Demo - DHB Devolved'!V24</f>
        <v>1.48433686851559E-2</v>
      </c>
      <c r="AU23" s="248" t="s">
        <v>423</v>
      </c>
      <c r="AV23" s="95">
        <v>15201</v>
      </c>
      <c r="AW23" s="89">
        <f t="shared" si="12"/>
        <v>-2.3233121137493651E-2</v>
      </c>
      <c r="AX23" s="95">
        <v>15099</v>
      </c>
      <c r="BC23">
        <v>2026</v>
      </c>
      <c r="BD23" s="131">
        <f t="shared" si="13"/>
        <v>1.5576323987538387E-3</v>
      </c>
      <c r="BF23" s="278" t="s">
        <v>424</v>
      </c>
      <c r="BG23" s="278"/>
      <c r="BH23" s="278"/>
      <c r="BI23" s="278"/>
      <c r="BJ23" s="278"/>
      <c r="BK23" s="278"/>
      <c r="BL23" s="278"/>
      <c r="BM23" s="278"/>
      <c r="BN23" s="278"/>
      <c r="BO23" s="278"/>
      <c r="BP23" s="278"/>
      <c r="BQ23" s="278"/>
      <c r="BR23" s="278"/>
      <c r="BS23" s="278"/>
      <c r="BT23" s="278"/>
      <c r="BU23" s="278"/>
      <c r="BV23" s="278"/>
      <c r="BW23" s="278"/>
      <c r="BX23" s="278"/>
      <c r="BY23" s="278"/>
      <c r="BZ23" s="278"/>
      <c r="CA23" s="278"/>
      <c r="CD23">
        <v>2030</v>
      </c>
      <c r="CE23" s="95">
        <f>SUM([5]Total!$D1886:$W1886)</f>
        <v>1292650</v>
      </c>
      <c r="CF23" s="89">
        <f t="shared" si="7"/>
        <v>-3.2001850709438839E-3</v>
      </c>
      <c r="CH23">
        <v>2025</v>
      </c>
      <c r="CI23" s="131">
        <f t="shared" si="14"/>
        <v>4.3036266778329058E-3</v>
      </c>
      <c r="CL23">
        <v>2023</v>
      </c>
      <c r="CM23" s="279">
        <f>'[8]1. Demo - DHB Devolved'!$H14</f>
        <v>1411.6675460553436</v>
      </c>
      <c r="CN23" s="280">
        <f>'[8]1. Demo - DHB Devolved'!$I14</f>
        <v>9.2944933722332035E-3</v>
      </c>
      <c r="CR23" s="248" t="s">
        <v>425</v>
      </c>
      <c r="CS23" s="95">
        <v>31900</v>
      </c>
      <c r="CT23" s="95">
        <v>32460</v>
      </c>
      <c r="CU23" s="95">
        <v>32220</v>
      </c>
      <c r="CV23" s="95">
        <v>32040</v>
      </c>
      <c r="CW23" s="95">
        <v>33130</v>
      </c>
      <c r="CX23" s="95">
        <v>34230</v>
      </c>
      <c r="CY23" s="95">
        <v>35760</v>
      </c>
      <c r="CZ23" s="95">
        <v>37580</v>
      </c>
      <c r="DA23" s="95">
        <v>39270</v>
      </c>
      <c r="DB23" s="95">
        <v>40610</v>
      </c>
      <c r="DC23" s="95">
        <v>41850</v>
      </c>
      <c r="DD23" s="95">
        <v>43070</v>
      </c>
      <c r="DE23" s="95">
        <v>44590</v>
      </c>
      <c r="DF23" s="95">
        <v>45640</v>
      </c>
      <c r="DG23" s="95">
        <v>46440</v>
      </c>
      <c r="DH23" s="95">
        <v>47570</v>
      </c>
      <c r="DI23" s="95">
        <v>48010</v>
      </c>
      <c r="DJ23" s="95">
        <v>47910</v>
      </c>
      <c r="DK23" s="95">
        <v>47930</v>
      </c>
      <c r="DL23" s="95">
        <v>48400</v>
      </c>
      <c r="DM23" s="95">
        <v>48530</v>
      </c>
      <c r="DN23" s="95">
        <v>49340</v>
      </c>
      <c r="DO23" s="95">
        <v>51010</v>
      </c>
      <c r="DP23" s="95">
        <v>52980</v>
      </c>
      <c r="DQ23" s="95">
        <v>56080</v>
      </c>
      <c r="DR23" s="95">
        <v>59890</v>
      </c>
      <c r="DS23" s="95">
        <v>63460</v>
      </c>
      <c r="DT23" s="95">
        <v>65030</v>
      </c>
      <c r="DU23" s="232"/>
      <c r="ED23" s="116"/>
      <c r="EE23" s="231">
        <v>2028</v>
      </c>
      <c r="EF23" s="250">
        <v>2545.2950139261916</v>
      </c>
      <c r="EG23" s="240">
        <f t="shared" si="11"/>
        <v>2.467003719470906E-2</v>
      </c>
    </row>
    <row r="24" spans="3:137" ht="15" customHeight="1">
      <c r="C24" s="271" t="s">
        <v>426</v>
      </c>
      <c r="D24" s="244"/>
      <c r="E24" s="244"/>
      <c r="F24" s="244"/>
      <c r="G24" s="244"/>
      <c r="H24" s="244"/>
      <c r="I24" s="244"/>
      <c r="J24" s="244"/>
      <c r="K24" s="268">
        <v>1.5900699119968074E-2</v>
      </c>
      <c r="L24" s="268">
        <v>1.7334337409957819E-2</v>
      </c>
      <c r="M24" s="268">
        <v>1.7516649468107652E-2</v>
      </c>
      <c r="N24" s="268">
        <v>1.830509827988968E-2</v>
      </c>
      <c r="O24" s="275">
        <v>2.0830610339940048E-2</v>
      </c>
      <c r="V24" s="261">
        <v>2022</v>
      </c>
      <c r="W24" s="153">
        <v>2.0815039340049468E-2</v>
      </c>
      <c r="Y24" s="117" t="s">
        <v>427</v>
      </c>
      <c r="Z24" s="254">
        <f>'[6]1. Demo - DHB Devolved'!D25</f>
        <v>2.6166297948848394E-2</v>
      </c>
      <c r="AA24" s="254">
        <f>'[6]1. Demo - DHB Devolved'!E25</f>
        <v>3.1120901688245661E-2</v>
      </c>
      <c r="AB24" s="254">
        <f>'[6]1. Demo - DHB Devolved'!F25</f>
        <v>3.2398716396532912E-2</v>
      </c>
      <c r="AC24" s="254">
        <f>'[6]1. Demo - DHB Devolved'!G25</f>
        <v>3.1874748579171053E-2</v>
      </c>
      <c r="AD24" s="254">
        <f>'[6]1. Demo - DHB Devolved'!H25</f>
        <v>3.0269073756242548E-2</v>
      </c>
      <c r="AE24" s="254">
        <f>'[6]1. Demo - DHB Devolved'!I25</f>
        <v>2.8068929836908563E-2</v>
      </c>
      <c r="AF24" s="254">
        <f>'[6]1. Demo - DHB Devolved'!J25</f>
        <v>2.648380762438296E-2</v>
      </c>
      <c r="AG24" s="254">
        <f>'[6]1. Demo - DHB Devolved'!K25</f>
        <v>2.6180312729043198E-2</v>
      </c>
      <c r="AH24" s="254">
        <f>'[6]1. Demo - DHB Devolved'!L25</f>
        <v>2.5102342628924523E-2</v>
      </c>
      <c r="AI24" s="254">
        <f>'[6]1. Demo - DHB Devolved'!M25</f>
        <v>2.5100992731933447E-2</v>
      </c>
      <c r="AJ24" s="254">
        <f>'[6]1. Demo - DHB Devolved'!N25</f>
        <v>2.560286968483183E-2</v>
      </c>
      <c r="AK24" s="254">
        <f>'[6]1. Demo - DHB Devolved'!O25</f>
        <v>2.5543087959334354E-2</v>
      </c>
      <c r="AL24" s="254">
        <f>'[6]1. Demo - DHB Devolved'!P25</f>
        <v>2.5864114687746298E-2</v>
      </c>
      <c r="AM24" s="254">
        <f>'[6]1. Demo - DHB Devolved'!Q25</f>
        <v>2.5186650411110234E-2</v>
      </c>
      <c r="AN24" s="254">
        <f>'[6]1. Demo - DHB Devolved'!R25</f>
        <v>2.4260498639482098E-2</v>
      </c>
      <c r="AO24" s="254">
        <f>'[6]1. Demo - DHB Devolved'!S25</f>
        <v>2.4227507358652423E-2</v>
      </c>
      <c r="AP24" s="254">
        <f>'[6]1. Demo - DHB Devolved'!T25</f>
        <v>2.4649813530254638E-2</v>
      </c>
      <c r="AQ24" s="254">
        <f>'[6]1. Demo - DHB Devolved'!U25</f>
        <v>2.437848846610291E-2</v>
      </c>
      <c r="AR24" s="254">
        <f>'[6]1. Demo - DHB Devolved'!V25</f>
        <v>2.4285282947670739E-2</v>
      </c>
      <c r="AU24" s="248" t="s">
        <v>428</v>
      </c>
      <c r="AV24" s="95">
        <v>15633</v>
      </c>
      <c r="AW24" s="89">
        <f t="shared" si="12"/>
        <v>-2.3422159887798055E-2</v>
      </c>
      <c r="AX24" s="95">
        <v>15525</v>
      </c>
      <c r="BC24">
        <v>2027</v>
      </c>
      <c r="BD24" s="131">
        <f t="shared" si="13"/>
        <v>-3.1104199066873672E-3</v>
      </c>
      <c r="BF24" s="282" t="s">
        <v>429</v>
      </c>
      <c r="BG24" s="282"/>
      <c r="BH24" s="282"/>
      <c r="BI24" s="282"/>
      <c r="BJ24" s="282"/>
      <c r="BK24" s="282"/>
      <c r="BL24" s="282"/>
      <c r="BM24" s="282"/>
      <c r="BN24" s="282"/>
      <c r="BO24" s="282"/>
      <c r="BP24" s="282"/>
      <c r="BQ24" s="282"/>
      <c r="BR24" s="282"/>
      <c r="BS24" s="282"/>
      <c r="BT24" s="282"/>
      <c r="BU24" s="282"/>
      <c r="BV24" s="282"/>
      <c r="BW24" s="282"/>
      <c r="BX24" s="282"/>
      <c r="BY24" s="282"/>
      <c r="BZ24" s="282"/>
      <c r="CA24" s="282"/>
      <c r="CD24">
        <v>2031</v>
      </c>
      <c r="CE24" s="95">
        <f>SUM([5]Total!$D1887:$W1887)</f>
        <v>1289400</v>
      </c>
      <c r="CF24" s="89">
        <f t="shared" si="7"/>
        <v>-2.5142149847212636E-3</v>
      </c>
      <c r="CH24">
        <v>2026</v>
      </c>
      <c r="CI24" s="131">
        <f t="shared" si="14"/>
        <v>3.5671268414714241E-3</v>
      </c>
      <c r="CL24">
        <v>2024</v>
      </c>
      <c r="CM24" s="279">
        <f>'[8]1. Demo - DHB Devolved'!$H15</f>
        <v>1424.5158943187594</v>
      </c>
      <c r="CN24" s="280">
        <f>'[8]1. Demo - DHB Devolved'!$I15</f>
        <v>9.1015397352713912E-3</v>
      </c>
      <c r="CR24" s="248" t="s">
        <v>430</v>
      </c>
      <c r="CS24" s="95">
        <v>17280</v>
      </c>
      <c r="CT24" s="95">
        <v>17970</v>
      </c>
      <c r="CU24" s="95">
        <v>18640</v>
      </c>
      <c r="CV24" s="95">
        <v>19630</v>
      </c>
      <c r="CW24" s="95">
        <v>20360</v>
      </c>
      <c r="CX24" s="95">
        <v>20850</v>
      </c>
      <c r="CY24" s="95">
        <v>21240</v>
      </c>
      <c r="CZ24" s="95">
        <v>21220</v>
      </c>
      <c r="DA24" s="95">
        <v>21350</v>
      </c>
      <c r="DB24" s="95">
        <v>22210</v>
      </c>
      <c r="DC24" s="95">
        <v>23410</v>
      </c>
      <c r="DD24" s="95">
        <v>24690</v>
      </c>
      <c r="DE24" s="95">
        <v>26180</v>
      </c>
      <c r="DF24" s="95">
        <v>27470</v>
      </c>
      <c r="DG24" s="95">
        <v>28810</v>
      </c>
      <c r="DH24" s="95">
        <v>30180</v>
      </c>
      <c r="DI24" s="95">
        <v>31310</v>
      </c>
      <c r="DJ24" s="95">
        <v>32460</v>
      </c>
      <c r="DK24" s="95">
        <v>33530</v>
      </c>
      <c r="DL24" s="95">
        <v>34240</v>
      </c>
      <c r="DM24" s="95">
        <v>35350</v>
      </c>
      <c r="DN24" s="95">
        <v>35970</v>
      </c>
      <c r="DO24" s="95">
        <v>36100</v>
      </c>
      <c r="DP24" s="95">
        <v>36510</v>
      </c>
      <c r="DQ24" s="95">
        <v>37210</v>
      </c>
      <c r="DR24" s="95">
        <v>37680</v>
      </c>
      <c r="DS24" s="95">
        <v>38650</v>
      </c>
      <c r="DT24" s="95">
        <v>40270</v>
      </c>
      <c r="DU24" s="232"/>
      <c r="ED24" s="116"/>
      <c r="EE24" s="116">
        <v>2029</v>
      </c>
      <c r="EF24" s="250">
        <v>2606.9447213663543</v>
      </c>
      <c r="EG24" s="240">
        <f t="shared" si="11"/>
        <v>2.4221045930965079E-2</v>
      </c>
    </row>
    <row r="25" spans="3:137" ht="15" customHeight="1">
      <c r="C25" s="271" t="s">
        <v>431</v>
      </c>
      <c r="D25" s="244"/>
      <c r="E25" s="244"/>
      <c r="F25" s="244"/>
      <c r="G25" s="244"/>
      <c r="H25" s="244"/>
      <c r="I25" s="244"/>
      <c r="J25" s="244"/>
      <c r="K25" s="268">
        <v>1.5629267639124766E-2</v>
      </c>
      <c r="L25" s="268">
        <v>1.6969086071589964E-2</v>
      </c>
      <c r="M25" s="268">
        <v>1.72433381952459E-2</v>
      </c>
      <c r="N25" s="268">
        <v>1.7956298374138625E-2</v>
      </c>
      <c r="O25" s="275">
        <v>2.0043926569277337E-2</v>
      </c>
      <c r="V25" s="266">
        <v>2023</v>
      </c>
      <c r="W25" s="153">
        <v>1.9415147414631795E-2</v>
      </c>
      <c r="Y25" s="117" t="s">
        <v>432</v>
      </c>
      <c r="Z25" s="254">
        <f>'[6]1. Demo - DHB Devolved'!D26</f>
        <v>9.2158145281697745E-3</v>
      </c>
      <c r="AA25" s="254">
        <f>'[6]1. Demo - DHB Devolved'!E26</f>
        <v>6.2992676331437014E-3</v>
      </c>
      <c r="AB25" s="254">
        <f>'[6]1. Demo - DHB Devolved'!F26</f>
        <v>5.9452433007241012E-3</v>
      </c>
      <c r="AC25" s="254">
        <f>'[6]1. Demo - DHB Devolved'!G26</f>
        <v>1.4391500456425899E-2</v>
      </c>
      <c r="AD25" s="254">
        <f>'[6]1. Demo - DHB Devolved'!H26</f>
        <v>5.4169292814103542E-3</v>
      </c>
      <c r="AE25" s="254">
        <f>'[6]1. Demo - DHB Devolved'!I26</f>
        <v>1.1251856281637718E-2</v>
      </c>
      <c r="AF25" s="254">
        <f>'[6]1. Demo - DHB Devolved'!J26</f>
        <v>1.483851215777876E-2</v>
      </c>
      <c r="AG25" s="254">
        <f>'[6]1. Demo - DHB Devolved'!K26</f>
        <v>1.3067533994235436E-2</v>
      </c>
      <c r="AH25" s="254">
        <f>'[6]1. Demo - DHB Devolved'!L26</f>
        <v>1.4718211874378051E-2</v>
      </c>
      <c r="AI25" s="254">
        <f>'[6]1. Demo - DHB Devolved'!M26</f>
        <v>1.0640729941910232E-2</v>
      </c>
      <c r="AJ25" s="254">
        <f>'[6]1. Demo - DHB Devolved'!N26</f>
        <v>9.6827563178274456E-3</v>
      </c>
      <c r="AK25" s="254">
        <f>'[6]1. Demo - DHB Devolved'!O26</f>
        <v>1.4530295830704754E-2</v>
      </c>
      <c r="AL25" s="254">
        <f>'[6]1. Demo - DHB Devolved'!P26</f>
        <v>1.3483911791119851E-2</v>
      </c>
      <c r="AM25" s="254">
        <f>'[6]1. Demo - DHB Devolved'!Q26</f>
        <v>1.5904562607467421E-2</v>
      </c>
      <c r="AN25" s="254">
        <f>'[6]1. Demo - DHB Devolved'!R26</f>
        <v>7.2774782577464947E-3</v>
      </c>
      <c r="AO25" s="254">
        <f>'[6]1. Demo - DHB Devolved'!S26</f>
        <v>1.6434630164735786E-2</v>
      </c>
      <c r="AP25" s="254">
        <f>'[6]1. Demo - DHB Devolved'!T26</f>
        <v>1.144866414719603E-2</v>
      </c>
      <c r="AQ25" s="254">
        <f>'[6]1. Demo - DHB Devolved'!U26</f>
        <v>1.3768634776158972E-2</v>
      </c>
      <c r="AR25" s="254">
        <f>'[6]1. Demo - DHB Devolved'!V26</f>
        <v>1.2331530943956892E-2</v>
      </c>
      <c r="AU25" s="248" t="s">
        <v>433</v>
      </c>
      <c r="AV25" s="95">
        <v>14628</v>
      </c>
      <c r="AW25" s="89">
        <f t="shared" si="12"/>
        <v>-3.8852611940298543E-2</v>
      </c>
      <c r="AX25" s="95">
        <v>14526</v>
      </c>
      <c r="BC25">
        <v>2028</v>
      </c>
      <c r="BD25" s="131">
        <f t="shared" si="13"/>
        <v>-9.3603744149766133E-3</v>
      </c>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D25">
        <v>2032</v>
      </c>
      <c r="CE25" s="95">
        <f>SUM([5]Total!$D1888:$W1888)</f>
        <v>1286680</v>
      </c>
      <c r="CF25" s="89">
        <f t="shared" si="7"/>
        <v>-2.1095082984333713E-3</v>
      </c>
      <c r="CH25">
        <v>2027</v>
      </c>
      <c r="CI25" s="131">
        <f t="shared" si="14"/>
        <v>1.0386373078521416E-3</v>
      </c>
      <c r="CL25">
        <v>2025</v>
      </c>
      <c r="CM25" s="279">
        <f>'[8]1. Demo - DHB Devolved'!$H16</f>
        <v>1437.2738242118944</v>
      </c>
      <c r="CN25" s="280">
        <f>'[8]1. Demo - DHB Devolved'!$I16</f>
        <v>8.9559758118642474E-3</v>
      </c>
      <c r="CR25" s="248" t="s">
        <v>434</v>
      </c>
      <c r="CS25" s="95">
        <v>6960</v>
      </c>
      <c r="CT25" s="95">
        <v>7280</v>
      </c>
      <c r="CU25" s="95">
        <v>7630</v>
      </c>
      <c r="CV25" s="95">
        <v>7920</v>
      </c>
      <c r="CW25" s="95">
        <v>8280</v>
      </c>
      <c r="CX25" s="95">
        <v>8610</v>
      </c>
      <c r="CY25" s="95">
        <v>9110</v>
      </c>
      <c r="CZ25" s="95">
        <v>9600</v>
      </c>
      <c r="DA25" s="95">
        <v>10230</v>
      </c>
      <c r="DB25" s="95">
        <v>10740</v>
      </c>
      <c r="DC25" s="95">
        <v>11090</v>
      </c>
      <c r="DD25" s="95">
        <v>11380</v>
      </c>
      <c r="DE25" s="95">
        <v>11430</v>
      </c>
      <c r="DF25" s="95">
        <v>11630</v>
      </c>
      <c r="DG25" s="95">
        <v>12340</v>
      </c>
      <c r="DH25" s="95">
        <v>13160</v>
      </c>
      <c r="DI25" s="95">
        <v>14060</v>
      </c>
      <c r="DJ25" s="95">
        <v>15080</v>
      </c>
      <c r="DK25" s="95">
        <v>16150</v>
      </c>
      <c r="DL25" s="95">
        <v>17040</v>
      </c>
      <c r="DM25" s="95">
        <v>17850</v>
      </c>
      <c r="DN25" s="95">
        <v>18680</v>
      </c>
      <c r="DO25" s="95">
        <v>19340</v>
      </c>
      <c r="DP25" s="95">
        <v>20400</v>
      </c>
      <c r="DQ25" s="95">
        <v>20990</v>
      </c>
      <c r="DR25" s="95">
        <v>22140</v>
      </c>
      <c r="DS25" s="95">
        <v>22770</v>
      </c>
      <c r="DT25" s="95">
        <v>22970</v>
      </c>
      <c r="DU25" s="232"/>
      <c r="ED25" s="116"/>
      <c r="EE25" s="231">
        <v>2030</v>
      </c>
      <c r="EF25" s="250">
        <v>2671.0471951884142</v>
      </c>
      <c r="EG25" s="240">
        <f t="shared" si="11"/>
        <v>2.4589118939377652E-2</v>
      </c>
    </row>
    <row r="26" spans="3:137" ht="15" customHeight="1">
      <c r="C26" s="271" t="s">
        <v>435</v>
      </c>
      <c r="D26" s="244"/>
      <c r="E26" s="244"/>
      <c r="F26" s="244"/>
      <c r="G26" s="244"/>
      <c r="H26" s="244"/>
      <c r="I26" s="244"/>
      <c r="J26" s="244"/>
      <c r="K26" s="268">
        <v>1.5208188259827419E-2</v>
      </c>
      <c r="L26" s="268">
        <v>1.6745258569085521E-2</v>
      </c>
      <c r="M26" s="268">
        <v>1.6819295889230843E-2</v>
      </c>
      <c r="N26" s="268">
        <v>1.7337994498538973E-2</v>
      </c>
      <c r="O26" s="275">
        <v>1.9460736989594052E-2</v>
      </c>
      <c r="V26" s="261">
        <v>2024</v>
      </c>
      <c r="W26" s="153">
        <v>1.9048046173594457E-2</v>
      </c>
      <c r="Y26" s="284" t="s">
        <v>436</v>
      </c>
      <c r="Z26" s="285">
        <f>'[6]1. Demo - DHB Devolved'!D27</f>
        <v>7.5915312913117372E-3</v>
      </c>
      <c r="AA26" s="285">
        <f>'[6]1. Demo - DHB Devolved'!E27</f>
        <v>1.1690420272871593E-2</v>
      </c>
      <c r="AB26" s="285">
        <f>'[6]1. Demo - DHB Devolved'!F27</f>
        <v>1.886318410459431E-2</v>
      </c>
      <c r="AC26" s="285">
        <f>'[6]1. Demo - DHB Devolved'!G27</f>
        <v>1.9333182114330327E-2</v>
      </c>
      <c r="AD26" s="285">
        <f>'[6]1. Demo - DHB Devolved'!H27</f>
        <v>1.7106200792986082E-2</v>
      </c>
      <c r="AE26" s="285">
        <f>'[6]1. Demo - DHB Devolved'!I27</f>
        <v>1.2987730443128953E-2</v>
      </c>
      <c r="AF26" s="285">
        <f>'[6]1. Demo - DHB Devolved'!J27</f>
        <v>1.2881104440634061E-2</v>
      </c>
      <c r="AG26" s="285">
        <f>'[6]1. Demo - DHB Devolved'!K27</f>
        <v>1.2956039368557715E-2</v>
      </c>
      <c r="AH26" s="285">
        <f>'[6]1. Demo - DHB Devolved'!L27</f>
        <v>1.0450852750726103E-2</v>
      </c>
      <c r="AI26" s="285">
        <f>'[6]1. Demo - DHB Devolved'!M27</f>
        <v>1.1274317855530347E-2</v>
      </c>
      <c r="AJ26" s="285">
        <f>'[6]1. Demo - DHB Devolved'!N27</f>
        <v>1.3740099335989076E-2</v>
      </c>
      <c r="AK26" s="285">
        <f>'[6]1. Demo - DHB Devolved'!O27</f>
        <v>1.0845485200582816E-2</v>
      </c>
      <c r="AL26" s="285">
        <f>'[6]1. Demo - DHB Devolved'!P27</f>
        <v>1.2640346994420737E-2</v>
      </c>
      <c r="AM26" s="285">
        <f>'[6]1. Demo - DHB Devolved'!Q27</f>
        <v>1.3241003943762708E-2</v>
      </c>
      <c r="AN26" s="285">
        <f>'[6]1. Demo - DHB Devolved'!R27</f>
        <v>1.0877884118954073E-2</v>
      </c>
      <c r="AO26" s="285">
        <f>'[6]1. Demo - DHB Devolved'!S27</f>
        <v>1.2940156034046524E-2</v>
      </c>
      <c r="AP26" s="285">
        <f>'[6]1. Demo - DHB Devolved'!T27</f>
        <v>9.6912340166626088E-3</v>
      </c>
      <c r="AQ26" s="285">
        <f>'[6]1. Demo - DHB Devolved'!U27</f>
        <v>1.399170098426139E-2</v>
      </c>
      <c r="AR26" s="285">
        <f>'[6]1. Demo - DHB Devolved'!V27</f>
        <v>1.0916724379469667E-2</v>
      </c>
      <c r="AU26" s="248" t="s">
        <v>437</v>
      </c>
      <c r="AV26" s="95">
        <v>15804</v>
      </c>
      <c r="AW26" s="89">
        <f t="shared" si="12"/>
        <v>-3.6743549832555122E-2</v>
      </c>
      <c r="AX26" s="95">
        <v>15711</v>
      </c>
      <c r="BC26">
        <v>2029</v>
      </c>
      <c r="BD26" s="131">
        <f t="shared" si="13"/>
        <v>-7.8740157480314821E-3</v>
      </c>
      <c r="BF26" s="282" t="s">
        <v>438</v>
      </c>
      <c r="BG26" s="282"/>
      <c r="BH26" s="282"/>
      <c r="BI26" s="282"/>
      <c r="BJ26" s="282"/>
      <c r="BK26" s="282"/>
      <c r="BL26" s="282"/>
      <c r="BM26" s="282"/>
      <c r="BN26" s="282"/>
      <c r="BO26" s="282"/>
      <c r="BP26" s="282"/>
      <c r="BQ26" s="282"/>
      <c r="BR26" s="282"/>
      <c r="BS26" s="282"/>
      <c r="BT26" s="282"/>
      <c r="BU26" s="282"/>
      <c r="BV26" s="282"/>
      <c r="BW26" s="282"/>
      <c r="BX26" s="282"/>
      <c r="BY26" s="282"/>
      <c r="BZ26" s="282"/>
      <c r="CA26" s="282"/>
      <c r="CD26">
        <v>2033</v>
      </c>
      <c r="CE26" s="95">
        <f>SUM([5]Total!$D1889:$W1889)</f>
        <v>1284490</v>
      </c>
      <c r="CF26" s="89">
        <f t="shared" si="7"/>
        <v>-1.7020549009855168E-3</v>
      </c>
      <c r="CH26">
        <v>2028</v>
      </c>
      <c r="CI26" s="131">
        <f t="shared" si="14"/>
        <v>-1.4679547777700641E-3</v>
      </c>
      <c r="CL26">
        <v>2026</v>
      </c>
      <c r="CM26" s="279">
        <f>'[8]1. Demo - DHB Devolved'!$H17</f>
        <v>1449.3963669737668</v>
      </c>
      <c r="CN26" s="280">
        <f>'[8]1. Demo - DHB Devolved'!$I17</f>
        <v>8.4344002914820138E-3</v>
      </c>
      <c r="CR26" s="248" t="s">
        <v>439</v>
      </c>
      <c r="CS26" s="95">
        <v>9100</v>
      </c>
      <c r="CT26" s="95">
        <v>9600</v>
      </c>
      <c r="CU26" s="95">
        <v>10100</v>
      </c>
      <c r="CV26" s="95">
        <v>10600</v>
      </c>
      <c r="CW26" s="95">
        <v>11000</v>
      </c>
      <c r="CX26" s="95">
        <v>11500</v>
      </c>
      <c r="CY26" s="95">
        <v>12200</v>
      </c>
      <c r="CZ26" s="95">
        <v>12800</v>
      </c>
      <c r="DA26" s="95">
        <v>13600</v>
      </c>
      <c r="DB26" s="95">
        <v>14300</v>
      </c>
      <c r="DC26" s="95">
        <v>14900</v>
      </c>
      <c r="DD26" s="95">
        <v>15300</v>
      </c>
      <c r="DE26" s="95">
        <v>15600</v>
      </c>
      <c r="DF26" s="95">
        <v>16100</v>
      </c>
      <c r="DG26" s="95">
        <v>17100</v>
      </c>
      <c r="DH26" s="95">
        <v>18200</v>
      </c>
      <c r="DI26" s="95">
        <v>19300</v>
      </c>
      <c r="DJ26" s="95">
        <v>20500</v>
      </c>
      <c r="DK26" s="95">
        <v>21800</v>
      </c>
      <c r="DL26" s="95">
        <v>23100</v>
      </c>
      <c r="DM26" s="95">
        <v>24400</v>
      </c>
      <c r="DN26" s="95">
        <v>25700</v>
      </c>
      <c r="DO26" s="95">
        <v>26800</v>
      </c>
      <c r="DP26" s="95">
        <v>28500</v>
      </c>
      <c r="DQ26" s="95">
        <v>29600</v>
      </c>
      <c r="DR26" s="95">
        <v>31300</v>
      </c>
      <c r="DS26" s="95">
        <v>32700</v>
      </c>
      <c r="DT26" s="95">
        <v>33500</v>
      </c>
      <c r="DU26" s="232"/>
      <c r="ED26" s="116"/>
      <c r="EE26" s="116">
        <v>2031</v>
      </c>
      <c r="EF26" s="250">
        <v>2737.4503842386648</v>
      </c>
      <c r="EG26" s="240">
        <f t="shared" si="11"/>
        <v>2.4860357828895063E-2</v>
      </c>
    </row>
    <row r="27" spans="3:137" ht="15" customHeight="1">
      <c r="C27" s="271" t="s">
        <v>440</v>
      </c>
      <c r="D27" s="244"/>
      <c r="E27" s="244"/>
      <c r="F27" s="244"/>
      <c r="G27" s="244"/>
      <c r="H27" s="244"/>
      <c r="I27" s="244"/>
      <c r="J27" s="244"/>
      <c r="K27" s="268">
        <v>1.551679915004063E-2</v>
      </c>
      <c r="L27" s="268">
        <v>1.6949443585162403E-2</v>
      </c>
      <c r="M27" s="268">
        <v>1.6994971208771508E-2</v>
      </c>
      <c r="N27" s="268">
        <v>1.7416177342935539E-2</v>
      </c>
      <c r="O27" s="275">
        <v>1.9710256984768693E-2</v>
      </c>
      <c r="V27" s="266">
        <v>2025</v>
      </c>
      <c r="W27" s="153">
        <v>1.9776624098795104E-2</v>
      </c>
      <c r="Y27" s="117" t="s">
        <v>441</v>
      </c>
      <c r="Z27" s="254">
        <f>'[6]1. Demo - DHB Devolved'!D28</f>
        <v>2.0895503190858422E-2</v>
      </c>
      <c r="AA27" s="254">
        <f>'[6]1. Demo - DHB Devolved'!E28</f>
        <v>2.4726541964579019E-2</v>
      </c>
      <c r="AB27" s="254">
        <f>'[6]1. Demo - DHB Devolved'!F28</f>
        <v>2.726768191173945E-2</v>
      </c>
      <c r="AC27" s="254">
        <f>'[6]1. Demo - DHB Devolved'!G28</f>
        <v>2.65869249349866E-2</v>
      </c>
      <c r="AD27" s="254">
        <f>'[6]1. Demo - DHB Devolved'!H28</f>
        <v>2.4621636973036987E-2</v>
      </c>
      <c r="AE27" s="254">
        <f>'[6]1. Demo - DHB Devolved'!I28</f>
        <v>2.3278682332490863E-2</v>
      </c>
      <c r="AF27" s="254">
        <f>'[6]1. Demo - DHB Devolved'!J28</f>
        <v>2.1987078414496208E-2</v>
      </c>
      <c r="AG27" s="254">
        <f>'[6]1. Demo - DHB Devolved'!K28</f>
        <v>2.0815039340049468E-2</v>
      </c>
      <c r="AH27" s="254">
        <f>'[6]1. Demo - DHB Devolved'!L28</f>
        <v>1.9415147414631795E-2</v>
      </c>
      <c r="AI27" s="254">
        <f>'[6]1. Demo - DHB Devolved'!M28</f>
        <v>1.9048046173594457E-2</v>
      </c>
      <c r="AJ27" s="254">
        <f>'[6]1. Demo - DHB Devolved'!N28</f>
        <v>1.9776624098795104E-2</v>
      </c>
      <c r="AK27" s="254">
        <f>'[6]1. Demo - DHB Devolved'!O28</f>
        <v>2.0297534107683868E-2</v>
      </c>
      <c r="AL27" s="254">
        <f>'[6]1. Demo - DHB Devolved'!P28</f>
        <v>2.1327439134494197E-2</v>
      </c>
      <c r="AM27" s="254">
        <f>'[6]1. Demo - DHB Devolved'!Q28</f>
        <v>2.0369073952711592E-2</v>
      </c>
      <c r="AN27" s="254">
        <f>'[6]1. Demo - DHB Devolved'!R28</f>
        <v>1.8979455374264598E-2</v>
      </c>
      <c r="AO27" s="254">
        <f>'[6]1. Demo - DHB Devolved'!S28</f>
        <v>1.9256149913803311E-2</v>
      </c>
      <c r="AP27" s="254">
        <f>'[6]1. Demo - DHB Devolved'!T28</f>
        <v>1.9314160041259854E-2</v>
      </c>
      <c r="AQ27" s="254">
        <f>'[6]1. Demo - DHB Devolved'!U28</f>
        <v>2.007625846295924E-2</v>
      </c>
      <c r="AR27" s="254">
        <f>'[6]1. Demo - DHB Devolved'!V28</f>
        <v>1.9417956671748504E-2</v>
      </c>
      <c r="AU27" s="248" t="s">
        <v>442</v>
      </c>
      <c r="AV27" s="95">
        <v>15360</v>
      </c>
      <c r="AW27" s="89">
        <f t="shared" si="12"/>
        <v>-2.5974025974025983E-2</v>
      </c>
      <c r="AX27" s="95">
        <v>15273</v>
      </c>
      <c r="BC27">
        <v>2030</v>
      </c>
      <c r="BD27" s="131">
        <f t="shared" si="13"/>
        <v>-6.3492063492063266E-3</v>
      </c>
      <c r="BF27" s="282" t="s">
        <v>443</v>
      </c>
      <c r="BG27" s="282"/>
      <c r="BH27" s="282"/>
      <c r="BI27" s="282"/>
      <c r="BJ27" s="282"/>
      <c r="BK27" s="282"/>
      <c r="BL27" s="282"/>
      <c r="BM27" s="282"/>
      <c r="BN27" s="282"/>
      <c r="BO27" s="282"/>
      <c r="BP27" s="282"/>
      <c r="BQ27" s="282"/>
      <c r="BR27" s="282"/>
      <c r="BS27" s="282"/>
      <c r="BT27" s="282"/>
      <c r="BU27" s="282"/>
      <c r="BV27" s="282"/>
      <c r="BW27" s="282"/>
      <c r="BX27" s="282"/>
      <c r="BY27" s="282"/>
      <c r="BZ27" s="282"/>
      <c r="CA27" s="282"/>
      <c r="CD27">
        <v>2034</v>
      </c>
      <c r="CE27" s="95">
        <f>SUM([5]Total!$D1890:$W1890)</f>
        <v>1283190</v>
      </c>
      <c r="CF27" s="89">
        <f t="shared" si="7"/>
        <v>-1.0120748312559824E-3</v>
      </c>
      <c r="CH27">
        <v>2029</v>
      </c>
      <c r="CI27" s="131">
        <f t="shared" si="14"/>
        <v>-1.8626560551715521E-3</v>
      </c>
      <c r="CL27">
        <v>2027</v>
      </c>
      <c r="CM27" s="279">
        <f>'[8]1. Demo - DHB Devolved'!$H18</f>
        <v>1460.8889359873108</v>
      </c>
      <c r="CN27" s="280">
        <f>'[8]1. Demo - DHB Devolved'!$I18</f>
        <v>7.9292105840857996E-3</v>
      </c>
      <c r="CR27" s="248" t="s">
        <v>444</v>
      </c>
      <c r="CS27" s="95">
        <v>2150</v>
      </c>
      <c r="CT27" s="95">
        <v>2340</v>
      </c>
      <c r="CU27" s="95">
        <v>2490</v>
      </c>
      <c r="CV27" s="95">
        <v>2670</v>
      </c>
      <c r="CW27" s="95">
        <v>2730</v>
      </c>
      <c r="CX27" s="95">
        <v>2890</v>
      </c>
      <c r="CY27" s="95">
        <v>3050</v>
      </c>
      <c r="CZ27" s="95">
        <v>3230</v>
      </c>
      <c r="DA27" s="95">
        <v>3380</v>
      </c>
      <c r="DB27" s="95">
        <v>3560</v>
      </c>
      <c r="DC27" s="95">
        <v>3780</v>
      </c>
      <c r="DD27" s="95">
        <v>3960</v>
      </c>
      <c r="DE27" s="95">
        <v>4220</v>
      </c>
      <c r="DF27" s="95">
        <v>4490</v>
      </c>
      <c r="DG27" s="95">
        <v>4730</v>
      </c>
      <c r="DH27" s="95">
        <v>5020</v>
      </c>
      <c r="DI27" s="95">
        <v>5290</v>
      </c>
      <c r="DJ27" s="95">
        <v>5460</v>
      </c>
      <c r="DK27" s="95">
        <v>5640</v>
      </c>
      <c r="DL27" s="95">
        <v>6100</v>
      </c>
      <c r="DM27" s="95">
        <v>6550</v>
      </c>
      <c r="DN27" s="95">
        <v>7010</v>
      </c>
      <c r="DO27" s="95">
        <v>7500</v>
      </c>
      <c r="DP27" s="95">
        <v>8070</v>
      </c>
      <c r="DQ27" s="95">
        <v>8610</v>
      </c>
      <c r="DR27" s="95">
        <v>9190</v>
      </c>
      <c r="DS27" s="95">
        <v>9910</v>
      </c>
      <c r="DT27" s="95">
        <v>10500</v>
      </c>
      <c r="DU27" s="232"/>
      <c r="ED27" s="116"/>
      <c r="EE27" s="231">
        <v>2032</v>
      </c>
      <c r="EF27" s="250">
        <v>2804.0009661127674</v>
      </c>
      <c r="EG27" s="240">
        <f t="shared" si="11"/>
        <v>2.4311155466882228E-2</v>
      </c>
    </row>
    <row r="28" spans="3:137" ht="15" customHeight="1">
      <c r="C28" s="271" t="s">
        <v>445</v>
      </c>
      <c r="D28" s="244"/>
      <c r="E28" s="244"/>
      <c r="F28" s="244"/>
      <c r="G28" s="244"/>
      <c r="H28" s="244"/>
      <c r="I28" s="244"/>
      <c r="J28" s="244"/>
      <c r="K28" s="268">
        <v>1.5856009058757635E-2</v>
      </c>
      <c r="L28" s="268">
        <v>1.72033099641054E-2</v>
      </c>
      <c r="M28" s="268">
        <v>1.7328884666085152E-2</v>
      </c>
      <c r="N28" s="268">
        <v>1.7534581456099967E-2</v>
      </c>
      <c r="O28" s="275">
        <v>2.0325029055502153E-2</v>
      </c>
      <c r="V28" s="261">
        <v>2026</v>
      </c>
      <c r="W28" s="153">
        <v>2.0297534107683868E-2</v>
      </c>
      <c r="AU28" s="248" t="s">
        <v>446</v>
      </c>
      <c r="AV28" s="95">
        <v>15057</v>
      </c>
      <c r="AW28" s="89">
        <f t="shared" si="12"/>
        <v>-2.9010483986787294E-2</v>
      </c>
      <c r="AX28" s="95">
        <v>14955</v>
      </c>
      <c r="BC28">
        <v>2031</v>
      </c>
      <c r="BD28" s="131">
        <f t="shared" si="13"/>
        <v>-4.7923322683706138E-3</v>
      </c>
      <c r="BF28" s="282" t="s">
        <v>447</v>
      </c>
      <c r="BG28" s="282"/>
      <c r="BH28" s="282"/>
      <c r="BI28" s="282"/>
      <c r="BJ28" s="282"/>
      <c r="BK28" s="282"/>
      <c r="BL28" s="282"/>
      <c r="BM28" s="282"/>
      <c r="BN28" s="282"/>
      <c r="BO28" s="282"/>
      <c r="BP28" s="282"/>
      <c r="BQ28" s="282"/>
      <c r="BR28" s="282"/>
      <c r="BS28" s="282"/>
      <c r="BT28" s="282"/>
      <c r="BU28" s="282"/>
      <c r="BV28" s="282"/>
      <c r="BW28" s="282"/>
      <c r="BX28" s="282"/>
      <c r="BY28" s="282"/>
      <c r="BZ28" s="282"/>
      <c r="CA28" s="282"/>
      <c r="CD28">
        <v>2035</v>
      </c>
      <c r="CE28" s="95">
        <f>SUM([5]Total!$D1891:$W1891)</f>
        <v>1281490</v>
      </c>
      <c r="CF28" s="89">
        <f t="shared" si="7"/>
        <v>-1.3248232919520486E-3</v>
      </c>
      <c r="CH28">
        <v>2030</v>
      </c>
      <c r="CI28" s="131">
        <f t="shared" si="14"/>
        <v>-3.2001850709438839E-3</v>
      </c>
      <c r="CL28">
        <v>2028</v>
      </c>
      <c r="CM28" s="279">
        <f>'[8]1. Demo - DHB Devolved'!$H19</f>
        <v>1472.2169945343103</v>
      </c>
      <c r="CN28" s="280">
        <f>'[8]1. Demo - DHB Devolved'!$I19</f>
        <v>7.7542229720177769E-3</v>
      </c>
      <c r="CR28" s="248" t="s">
        <v>448</v>
      </c>
      <c r="CS28" s="255"/>
      <c r="CT28" s="255"/>
      <c r="CU28" s="255"/>
      <c r="CV28" s="255"/>
      <c r="CW28" s="255"/>
      <c r="CX28" s="255"/>
      <c r="CY28" s="255"/>
      <c r="CZ28" s="255"/>
      <c r="DA28" s="255"/>
      <c r="DB28" s="255"/>
      <c r="DC28" s="255"/>
      <c r="DD28" s="255"/>
      <c r="DE28" s="255"/>
      <c r="DF28" s="255"/>
      <c r="DG28" s="255"/>
      <c r="DH28" s="255"/>
      <c r="DI28" s="255"/>
      <c r="DJ28" s="255"/>
      <c r="DK28" s="255"/>
      <c r="DL28" s="255"/>
      <c r="DM28" s="255"/>
      <c r="DN28" s="255"/>
      <c r="DO28" s="255"/>
      <c r="DP28" s="255"/>
      <c r="DQ28" s="255"/>
      <c r="DR28" s="255"/>
      <c r="DS28" s="255"/>
      <c r="DT28" s="255"/>
      <c r="DU28" s="256"/>
      <c r="ED28" s="116"/>
      <c r="EE28" s="116">
        <v>2033</v>
      </c>
      <c r="EF28" s="250">
        <v>2873.3428298789263</v>
      </c>
      <c r="EG28" s="240">
        <f t="shared" si="11"/>
        <v>2.4729614791213272E-2</v>
      </c>
    </row>
    <row r="29" spans="3:137" ht="15" customHeight="1">
      <c r="C29" s="271" t="s">
        <v>449</v>
      </c>
      <c r="D29" s="244"/>
      <c r="E29" s="244"/>
      <c r="F29" s="244"/>
      <c r="G29" s="244"/>
      <c r="H29" s="244"/>
      <c r="I29" s="244"/>
      <c r="J29" s="244"/>
      <c r="K29" s="244"/>
      <c r="L29" s="244"/>
      <c r="M29" s="244"/>
      <c r="N29" s="268">
        <v>1.796301602285923E-2</v>
      </c>
      <c r="O29" s="275">
        <v>2.0976539140877604E-2</v>
      </c>
      <c r="V29" s="266">
        <v>2027</v>
      </c>
      <c r="W29" s="153">
        <v>2.1327439134494197E-2</v>
      </c>
      <c r="Y29" s="286" t="s">
        <v>450</v>
      </c>
      <c r="Z29" s="113">
        <f>VLOOKUP(TEXT(Z$6,"0000 ")&amp;TEXT(MOD(Z$6-1,100),"00"),'[6]3. National Population'!$Z$9:$AA$28,2)/VLOOKUP(TEXT(Z$6-1,"0000 ")&amp;TEXT(MOD(Z$6-2,100),"00"),'[6]3. National Population'!$Z$9:$AA$28,2)-1</f>
        <v>1.719686517224428E-2</v>
      </c>
      <c r="AA29" s="113">
        <f>VLOOKUP(TEXT(AA$6,"0000 ")&amp;TEXT(MOD(AA$6-1,100),"00"),'[6]3. National Population'!$Z$9:$AA$28,2)/VLOOKUP(TEXT(AA$6-1,"0000 ")&amp;TEXT(MOD(AA$6-2,100),"00"),'[6]3. National Population'!$Z$9:$AA$28,2)-1</f>
        <v>2.0110972237171287E-2</v>
      </c>
      <c r="AB29" s="113">
        <f>VLOOKUP(TEXT(AB$6,"0000 ")&amp;TEXT(MOD(AB$6-1,100),"00"),'[6]3. National Population'!$Z$9:$AA$28,2)/VLOOKUP(TEXT(AB$6-1,"0000 ")&amp;TEXT(MOD(AB$6-2,100),"00"),'[6]3. National Population'!$Z$9:$AA$28,2)-1</f>
        <v>2.132300612935345E-2</v>
      </c>
      <c r="AC29" s="113">
        <f>VLOOKUP(TEXT(AC$6,"0000 ")&amp;TEXT(MOD(AC$6-1,100),"00"),'[6]3. National Population'!$Z$9:$AA$28,2)/VLOOKUP(TEXT(AC$6-1,"0000 ")&amp;TEXT(MOD(AC$6-2,100),"00"),'[6]3. National Population'!$Z$9:$AA$28,2)-1</f>
        <v>2.0239001321928685E-2</v>
      </c>
      <c r="AD29" s="113">
        <f>VLOOKUP(TEXT(AD$6,"0000 ")&amp;TEXT(MOD(AD$6-1,100),"00"),'[6]3. National Population'!$Z$9:$AA$28,2)/VLOOKUP(TEXT(AD$6-1,"0000 ")&amp;TEXT(MOD(AD$6-2,100),"00"),'[6]3. National Population'!$Z$9:$AA$28,2)-1</f>
        <v>1.7798892967959556E-2</v>
      </c>
      <c r="AE29" s="113">
        <f>VLOOKUP(TEXT(AE$6,"0000 ")&amp;TEXT(MOD(AE$6-1,100),"00"),'[6]3. National Population'!$Z$9:$AA$28,2)/VLOOKUP(TEXT(AE$6-1,"0000 ")&amp;TEXT(MOD(AE$6-2,100),"00"),'[6]3. National Population'!$Z$9:$AA$28,2)-1</f>
        <v>1.5371980195708179E-2</v>
      </c>
      <c r="AF29" s="113">
        <f>VLOOKUP(TEXT(AF$6,"0000 ")&amp;TEXT(MOD(AF$6-1,100),"00"),'[6]3. National Population'!$Z$9:$AA$28,2)/VLOOKUP(TEXT(AF$6-1,"0000 ")&amp;TEXT(MOD(AF$6-2,100),"00"),'[6]3. National Population'!$Z$9:$AA$28,2)-1</f>
        <v>1.2770688505381544E-2</v>
      </c>
      <c r="AG29" s="113">
        <f>VLOOKUP(TEXT(AG$6,"0000 ")&amp;TEXT(MOD(AG$6-1,100),"00"),'[6]3. National Population'!$Z$9:$AA$28,2)/VLOOKUP(TEXT(AG$6-1,"0000 ")&amp;TEXT(MOD(AG$6-2,100),"00"),'[6]3. National Population'!$Z$9:$AA$28,2)-1</f>
        <v>1.0415083014627013E-2</v>
      </c>
      <c r="AH29" s="113">
        <f>VLOOKUP(TEXT(AH$6,"0000 ")&amp;TEXT(MOD(AH$6-1,100),"00"),'[6]3. National Population'!$Z$9:$AA$28,2)/VLOOKUP(TEXT(AH$6-1,"0000 ")&amp;TEXT(MOD(AH$6-2,100),"00"),'[6]3. National Population'!$Z$9:$AA$28,2)-1</f>
        <v>8.8812549828836129E-3</v>
      </c>
      <c r="AI29" s="113">
        <f>VLOOKUP(TEXT(AI$6,"0000 ")&amp;TEXT(MOD(AI$6-1,100),"00"),'[6]3. National Population'!$Z$9:$AA$28,2)/VLOOKUP(TEXT(AI$6-1,"0000 ")&amp;TEXT(MOD(AI$6-2,100),"00"),'[6]3. National Population'!$Z$9:$AA$28,2)-1</f>
        <v>8.6452177719404943E-3</v>
      </c>
      <c r="AJ29" s="113">
        <f>VLOOKUP(TEXT(AJ$6,"0000 ")&amp;TEXT(MOD(AJ$6-1,100),"00"),'[6]3. National Population'!$Z$9:$AA$28,2)/VLOOKUP(TEXT(AJ$6-1,"0000 ")&amp;TEXT(MOD(AJ$6-2,100),"00"),'[6]3. National Population'!$Z$9:$AA$28,2)-1</f>
        <v>8.5231118719641952E-3</v>
      </c>
      <c r="AK29" s="113">
        <f>VLOOKUP(TEXT(AK$6,"0000 ")&amp;TEXT(MOD(AK$6-1,100),"00"),'[6]3. National Population'!$Z$9:$AA$28,2)/VLOOKUP(TEXT(AK$6-1,"0000 ")&amp;TEXT(MOD(AK$6-2,100),"00"),'[6]3. National Population'!$Z$9:$AA$28,2)-1</f>
        <v>8.2911429762824174E-3</v>
      </c>
      <c r="AL29" s="113">
        <f>VLOOKUP(TEXT(AL$6,"0000 ")&amp;TEXT(MOD(AL$6-1,100),"00"),'[6]3. National Population'!$Z$9:$AA$28,2)/VLOOKUP(TEXT(AL$6-1,"0000 ")&amp;TEXT(MOD(AL$6-2,100),"00"),'[6]3. National Population'!$Z$9:$AA$28,2)-1</f>
        <v>8.1389321381120094E-3</v>
      </c>
      <c r="AM29" s="113">
        <f>VLOOKUP(TEXT(AM$6,"0000 ")&amp;TEXT(MOD(AM$6-1,100),"00"),'[6]3. National Population'!$Z$9:$AA$28,2)/VLOOKUP(TEXT(AM$6-1,"0000 ")&amp;TEXT(MOD(AM$6-2,100),"00"),'[6]3. National Population'!$Z$9:$AA$28,2)-1</f>
        <v>7.9467878961563265E-3</v>
      </c>
      <c r="AN29" s="113">
        <f>VLOOKUP(TEXT(AN$6,"0000 ")&amp;TEXT(MOD(AN$6-1,100),"00"),'[6]3. National Population'!$Z$9:$AA$28,2)/VLOOKUP(TEXT(AN$6-1,"0000 ")&amp;TEXT(MOD(AN$6-2,100),"00"),'[6]3. National Population'!$Z$9:$AA$28,2)-1</f>
        <v>7.5849367968390258E-3</v>
      </c>
      <c r="AO29" s="113">
        <f>VLOOKUP(TEXT(AO$6,"0000 ")&amp;TEXT(MOD(AO$6-1,100),"00"),'[6]3. National Population'!$Z$9:$AA$28,2)/VLOOKUP(TEXT(AO$6-1,"0000 ")&amp;TEXT(MOD(AO$6-2,100),"00"),'[6]3. National Population'!$Z$9:$AA$28,2)-1</f>
        <v>7.3424783861686382E-3</v>
      </c>
      <c r="AP29" s="113">
        <f>VLOOKUP(TEXT(AP$6,"0000 ")&amp;TEXT(MOD(AP$6-1,100),"00"),'[6]3. National Population'!$Z$9:$AA$28,2)/VLOOKUP(TEXT(AP$6-1,"0000 ")&amp;TEXT(MOD(AP$6-2,100),"00"),'[6]3. National Population'!$Z$9:$AA$28,2)-1</f>
        <v>7.1708639366778737E-3</v>
      </c>
      <c r="AQ29" s="113">
        <f>VLOOKUP(TEXT(AQ$6,"0000 ")&amp;TEXT(MOD(AQ$6-1,100),"00"),'[6]3. National Population'!$Z$9:$AA$28,2)/VLOOKUP(TEXT(AQ$6-1,"0000 ")&amp;TEXT(MOD(AQ$6-2,100),"00"),'[6]3. National Population'!$Z$9:$AA$28,2)-1</f>
        <v>6.7853149967735948E-3</v>
      </c>
      <c r="AR29" s="113">
        <f>VLOOKUP(TEXT(AR$6,"0000 ")&amp;TEXT(MOD(AR$6-1,100),"00"),'[6]3. National Population'!$Z$9:$AA$28,2)/VLOOKUP(TEXT(AR$6-1,"0000 ")&amp;TEXT(MOD(AR$6-2,100),"00"),'[6]3. National Population'!$Z$9:$AA$28,2)-1</f>
        <v>6.6312458526498474E-3</v>
      </c>
      <c r="AU29" s="248" t="s">
        <v>451</v>
      </c>
      <c r="AV29" s="95">
        <v>15348</v>
      </c>
      <c r="AW29" s="89">
        <f t="shared" si="12"/>
        <v>-4.0762847576066852E-3</v>
      </c>
      <c r="AX29" s="95">
        <v>15240</v>
      </c>
      <c r="BC29">
        <v>2032</v>
      </c>
      <c r="BD29" s="131">
        <f t="shared" si="13"/>
        <v>-6.4205457463883953E-3</v>
      </c>
      <c r="BF29" s="282" t="s">
        <v>452</v>
      </c>
      <c r="BG29" s="282"/>
      <c r="BH29" s="282"/>
      <c r="BI29" s="282"/>
      <c r="BJ29" s="282"/>
      <c r="BK29" s="282"/>
      <c r="BL29" s="282"/>
      <c r="BM29" s="282"/>
      <c r="BN29" s="282"/>
      <c r="BO29" s="282"/>
      <c r="BP29" s="282"/>
      <c r="BQ29" s="282"/>
      <c r="BR29" s="282"/>
      <c r="BS29" s="282"/>
      <c r="BT29" s="282"/>
      <c r="BU29" s="282"/>
      <c r="BV29" s="282"/>
      <c r="BW29" s="282"/>
      <c r="BX29" s="282"/>
      <c r="BY29" s="282"/>
      <c r="BZ29" s="282"/>
      <c r="CA29" s="282"/>
      <c r="CD29">
        <v>2036</v>
      </c>
      <c r="CE29" s="95">
        <f>SUM([5]Total!$D1892:$W1892)</f>
        <v>1279560</v>
      </c>
      <c r="CF29" s="89">
        <f t="shared" si="7"/>
        <v>-1.5060593527846944E-3</v>
      </c>
      <c r="CH29">
        <v>2031</v>
      </c>
      <c r="CI29" s="131">
        <f t="shared" si="14"/>
        <v>-2.5142149847212636E-3</v>
      </c>
      <c r="CL29">
        <v>2029</v>
      </c>
      <c r="CM29" s="279">
        <f>'[8]1. Demo - DHB Devolved'!$H20</f>
        <v>1483.0336750015949</v>
      </c>
      <c r="CN29" s="280">
        <f>'[8]1. Demo - DHB Devolved'!$I20</f>
        <v>7.3472052743870364E-3</v>
      </c>
      <c r="CR29" s="248" t="s">
        <v>357</v>
      </c>
      <c r="CS29" s="95">
        <v>140120</v>
      </c>
      <c r="CT29" s="95">
        <v>142960</v>
      </c>
      <c r="CU29" s="95">
        <v>143930</v>
      </c>
      <c r="CV29" s="95">
        <v>144280</v>
      </c>
      <c r="CW29" s="95">
        <v>143900</v>
      </c>
      <c r="CX29" s="95">
        <v>142450</v>
      </c>
      <c r="CY29" s="95">
        <v>141700</v>
      </c>
      <c r="CZ29" s="95">
        <v>140820</v>
      </c>
      <c r="DA29" s="95">
        <v>138840</v>
      </c>
      <c r="DB29" s="95">
        <v>137720</v>
      </c>
      <c r="DC29" s="95">
        <v>137040</v>
      </c>
      <c r="DD29" s="95">
        <v>137260</v>
      </c>
      <c r="DE29" s="95">
        <v>137630</v>
      </c>
      <c r="DF29" s="95">
        <v>139200</v>
      </c>
      <c r="DG29" s="95">
        <v>138950</v>
      </c>
      <c r="DH29" s="95">
        <v>139790</v>
      </c>
      <c r="DI29" s="95">
        <v>142900</v>
      </c>
      <c r="DJ29" s="95">
        <v>146740</v>
      </c>
      <c r="DK29" s="95">
        <v>149420</v>
      </c>
      <c r="DL29" s="95">
        <v>152980</v>
      </c>
      <c r="DM29" s="95">
        <v>154440</v>
      </c>
      <c r="DN29" s="95">
        <v>153640</v>
      </c>
      <c r="DO29" s="95">
        <v>151770</v>
      </c>
      <c r="DP29" s="95">
        <v>150450</v>
      </c>
      <c r="DQ29" s="95">
        <v>148870</v>
      </c>
      <c r="DR29" s="95">
        <v>148330</v>
      </c>
      <c r="DS29" s="95">
        <v>148900</v>
      </c>
      <c r="DT29" s="95">
        <v>149110</v>
      </c>
      <c r="DU29" s="232"/>
    </row>
    <row r="30" spans="3:137" ht="15" customHeight="1">
      <c r="C30" s="271" t="s">
        <v>453</v>
      </c>
      <c r="D30" s="244"/>
      <c r="E30" s="244"/>
      <c r="F30" s="244"/>
      <c r="G30" s="244"/>
      <c r="H30" s="244"/>
      <c r="I30" s="244"/>
      <c r="J30" s="244"/>
      <c r="K30" s="244"/>
      <c r="L30" s="244"/>
      <c r="M30" s="244"/>
      <c r="N30" s="268">
        <v>1.7361898603913607E-2</v>
      </c>
      <c r="O30" s="275">
        <v>2.0473931490796238E-2</v>
      </c>
      <c r="V30" s="261">
        <v>2028</v>
      </c>
      <c r="W30" s="153">
        <v>2.0369073952711592E-2</v>
      </c>
      <c r="Y30" s="286" t="s">
        <v>454</v>
      </c>
      <c r="Z30" s="113">
        <f>Z27-Z29</f>
        <v>3.6986380186141421E-3</v>
      </c>
      <c r="AA30" s="113">
        <f t="shared" ref="AA30:AR30" si="15">AA27-AA29</f>
        <v>4.6155697274077312E-3</v>
      </c>
      <c r="AB30" s="113">
        <f t="shared" si="15"/>
        <v>5.9446757823859997E-3</v>
      </c>
      <c r="AC30" s="113">
        <f t="shared" si="15"/>
        <v>6.3479236130579153E-3</v>
      </c>
      <c r="AD30" s="113">
        <f t="shared" si="15"/>
        <v>6.8227440050774302E-3</v>
      </c>
      <c r="AE30" s="113">
        <f t="shared" si="15"/>
        <v>7.906702136782684E-3</v>
      </c>
      <c r="AF30" s="113">
        <f t="shared" si="15"/>
        <v>9.2163899091146639E-3</v>
      </c>
      <c r="AG30" s="113">
        <f t="shared" si="15"/>
        <v>1.0399956325422455E-2</v>
      </c>
      <c r="AH30" s="113">
        <f t="shared" si="15"/>
        <v>1.0533892431748182E-2</v>
      </c>
      <c r="AI30" s="113">
        <f t="shared" si="15"/>
        <v>1.0402828401653963E-2</v>
      </c>
      <c r="AJ30" s="113">
        <f t="shared" si="15"/>
        <v>1.1253512226830908E-2</v>
      </c>
      <c r="AK30" s="113">
        <f t="shared" si="15"/>
        <v>1.200639113140145E-2</v>
      </c>
      <c r="AL30" s="113">
        <f t="shared" si="15"/>
        <v>1.3188506996382188E-2</v>
      </c>
      <c r="AM30" s="113">
        <f t="shared" si="15"/>
        <v>1.2422286056555265E-2</v>
      </c>
      <c r="AN30" s="113">
        <f t="shared" si="15"/>
        <v>1.1394518577425572E-2</v>
      </c>
      <c r="AO30" s="113">
        <f t="shared" si="15"/>
        <v>1.1913671527634673E-2</v>
      </c>
      <c r="AP30" s="113">
        <f t="shared" si="15"/>
        <v>1.214329610458198E-2</v>
      </c>
      <c r="AQ30" s="113">
        <f t="shared" si="15"/>
        <v>1.3290943466185645E-2</v>
      </c>
      <c r="AR30" s="113">
        <f t="shared" si="15"/>
        <v>1.2786710819098657E-2</v>
      </c>
      <c r="AU30" s="248" t="s">
        <v>455</v>
      </c>
      <c r="AV30" s="95">
        <v>15390</v>
      </c>
      <c r="AW30" s="89">
        <f t="shared" si="12"/>
        <v>-1.8117716188423838E-3</v>
      </c>
      <c r="AX30" s="95">
        <v>15315</v>
      </c>
      <c r="BC30">
        <v>2033</v>
      </c>
      <c r="BD30" s="131">
        <f t="shared" si="13"/>
        <v>-6.4620355411955099E-3</v>
      </c>
      <c r="BF30" s="282" t="s">
        <v>456</v>
      </c>
      <c r="BG30" s="282"/>
      <c r="BH30" s="282"/>
      <c r="BI30" s="282"/>
      <c r="BJ30" s="282"/>
      <c r="BK30" s="282"/>
      <c r="BL30" s="282"/>
      <c r="BM30" s="282"/>
      <c r="BN30" s="282"/>
      <c r="BO30" s="282"/>
      <c r="BP30" s="282"/>
      <c r="BQ30" s="282"/>
      <c r="BR30" s="282"/>
      <c r="BS30" s="282"/>
      <c r="BT30" s="282"/>
      <c r="BU30" s="282"/>
      <c r="BV30" s="282"/>
      <c r="BW30" s="282"/>
      <c r="BX30" s="282"/>
      <c r="BY30" s="282"/>
      <c r="BZ30" s="282"/>
      <c r="CA30" s="282"/>
      <c r="CD30">
        <v>2037</v>
      </c>
      <c r="CE30" s="95">
        <f>SUM([5]Total!$D1893:$W1893)</f>
        <v>1277470</v>
      </c>
      <c r="CF30" s="89">
        <f t="shared" si="7"/>
        <v>-1.6333739723030094E-3</v>
      </c>
      <c r="CH30">
        <v>2032</v>
      </c>
      <c r="CI30" s="131">
        <f t="shared" si="14"/>
        <v>-2.1095082984333713E-3</v>
      </c>
      <c r="CL30">
        <v>2030</v>
      </c>
      <c r="CM30" s="279">
        <f>'[8]1. Demo - DHB Devolved'!$H21</f>
        <v>1493.3816724917558</v>
      </c>
      <c r="CN30" s="280">
        <f>'[8]1. Demo - DHB Devolved'!$I21</f>
        <v>6.9775876735569398E-3</v>
      </c>
      <c r="CR30" s="248" t="s">
        <v>361</v>
      </c>
      <c r="CS30" s="95">
        <v>126600</v>
      </c>
      <c r="CT30" s="95">
        <v>127710</v>
      </c>
      <c r="CU30" s="95">
        <v>130880</v>
      </c>
      <c r="CV30" s="95">
        <v>134520</v>
      </c>
      <c r="CW30" s="95">
        <v>139250</v>
      </c>
      <c r="CX30" s="95">
        <v>144100</v>
      </c>
      <c r="CY30" s="95">
        <v>148060</v>
      </c>
      <c r="CZ30" s="95">
        <v>149150</v>
      </c>
      <c r="DA30" s="95">
        <v>148440</v>
      </c>
      <c r="DB30" s="95">
        <v>146480</v>
      </c>
      <c r="DC30" s="95">
        <v>142800</v>
      </c>
      <c r="DD30" s="95">
        <v>142930</v>
      </c>
      <c r="DE30" s="95">
        <v>143360</v>
      </c>
      <c r="DF30" s="95">
        <v>142750</v>
      </c>
      <c r="DG30" s="95">
        <v>142510</v>
      </c>
      <c r="DH30" s="95">
        <v>142650</v>
      </c>
      <c r="DI30" s="95">
        <v>142570</v>
      </c>
      <c r="DJ30" s="95">
        <v>141960</v>
      </c>
      <c r="DK30" s="95">
        <v>142670</v>
      </c>
      <c r="DL30" s="95">
        <v>142000</v>
      </c>
      <c r="DM30" s="95">
        <v>142060</v>
      </c>
      <c r="DN30" s="95">
        <v>143580</v>
      </c>
      <c r="DO30" s="95">
        <v>146490</v>
      </c>
      <c r="DP30" s="95">
        <v>149220</v>
      </c>
      <c r="DQ30" s="95">
        <v>153350</v>
      </c>
      <c r="DR30" s="95">
        <v>156690</v>
      </c>
      <c r="DS30" s="95">
        <v>158770</v>
      </c>
      <c r="DT30" s="95">
        <v>159330</v>
      </c>
      <c r="DU30" s="232"/>
    </row>
    <row r="31" spans="3:137" ht="15" customHeight="1">
      <c r="C31" s="271" t="s">
        <v>457</v>
      </c>
      <c r="D31" s="244"/>
      <c r="E31" s="244"/>
      <c r="F31" s="244"/>
      <c r="G31" s="244"/>
      <c r="H31" s="244"/>
      <c r="I31" s="244"/>
      <c r="J31" s="244"/>
      <c r="K31" s="244"/>
      <c r="L31" s="244"/>
      <c r="M31" s="244"/>
      <c r="N31" s="268">
        <v>1.6355148516488265E-2</v>
      </c>
      <c r="O31" s="275">
        <v>1.9260774526527635E-2</v>
      </c>
      <c r="V31" s="266">
        <v>2029</v>
      </c>
      <c r="W31" s="153">
        <v>1.8979455374264598E-2</v>
      </c>
      <c r="Z31" s="113"/>
      <c r="AA31" s="113"/>
      <c r="AB31" s="113"/>
      <c r="AC31" s="113"/>
      <c r="AD31" s="113"/>
      <c r="AE31" s="113"/>
      <c r="AF31" s="113"/>
      <c r="AG31" s="113"/>
      <c r="AH31" s="113"/>
      <c r="AI31" s="113"/>
      <c r="AJ31" s="113"/>
      <c r="AK31" s="113"/>
      <c r="AL31" s="113"/>
      <c r="AM31" s="113"/>
      <c r="AN31" s="113"/>
      <c r="AO31" s="113"/>
      <c r="AP31" s="113"/>
      <c r="AQ31" s="113"/>
      <c r="AR31" s="113"/>
      <c r="AU31" s="248" t="s">
        <v>458</v>
      </c>
      <c r="AV31" s="95">
        <v>14445</v>
      </c>
      <c r="AW31" s="89">
        <f t="shared" si="12"/>
        <v>-1.9291819291819334E-2</v>
      </c>
      <c r="AX31" s="95">
        <v>14355</v>
      </c>
      <c r="BF31" s="282" t="s">
        <v>459</v>
      </c>
      <c r="BG31" s="282"/>
      <c r="BH31" s="282"/>
      <c r="BI31" s="282"/>
      <c r="BJ31" s="282"/>
      <c r="BK31" s="282"/>
      <c r="BL31" s="282"/>
      <c r="BM31" s="282"/>
      <c r="BN31" s="282"/>
      <c r="BO31" s="282"/>
      <c r="BP31" s="282"/>
      <c r="BQ31" s="282"/>
      <c r="BR31" s="282"/>
      <c r="BS31" s="282"/>
      <c r="BT31" s="282"/>
      <c r="BU31" s="282"/>
      <c r="BV31" s="282"/>
      <c r="BW31" s="282"/>
      <c r="BX31" s="282"/>
      <c r="BY31" s="282"/>
      <c r="BZ31" s="282"/>
      <c r="CA31" s="282"/>
      <c r="CD31">
        <v>2038</v>
      </c>
      <c r="CE31" s="95">
        <f>SUM([5]Total!$D1894:$W1894)</f>
        <v>1276640</v>
      </c>
      <c r="CF31" s="89">
        <f t="shared" si="7"/>
        <v>-6.4972171557842184E-4</v>
      </c>
      <c r="CH31">
        <v>2033</v>
      </c>
      <c r="CI31" s="131">
        <f t="shared" si="14"/>
        <v>-1.7020549009855168E-3</v>
      </c>
      <c r="CL31">
        <v>2031</v>
      </c>
      <c r="CM31" s="279">
        <f>'[8]1. Demo - DHB Devolved'!$H22</f>
        <v>1503.4632890899072</v>
      </c>
      <c r="CN31" s="280">
        <f>'[8]1. Demo - DHB Devolved'!$I22</f>
        <v>6.750864018124636E-3</v>
      </c>
      <c r="CR31" s="248" t="s">
        <v>365</v>
      </c>
      <c r="CS31" s="95">
        <v>127660</v>
      </c>
      <c r="CT31" s="95">
        <v>126520</v>
      </c>
      <c r="CU31" s="95">
        <v>126930</v>
      </c>
      <c r="CV31" s="95">
        <v>127540</v>
      </c>
      <c r="CW31" s="95">
        <v>128960</v>
      </c>
      <c r="CX31" s="95">
        <v>130790</v>
      </c>
      <c r="CY31" s="95">
        <v>133070</v>
      </c>
      <c r="CZ31" s="95">
        <v>136440</v>
      </c>
      <c r="DA31" s="95">
        <v>139560</v>
      </c>
      <c r="DB31" s="95">
        <v>143340</v>
      </c>
      <c r="DC31" s="95">
        <v>146980</v>
      </c>
      <c r="DD31" s="95">
        <v>150470</v>
      </c>
      <c r="DE31" s="95">
        <v>152750</v>
      </c>
      <c r="DF31" s="95">
        <v>153410</v>
      </c>
      <c r="DG31" s="95">
        <v>152460</v>
      </c>
      <c r="DH31" s="95">
        <v>150920</v>
      </c>
      <c r="DI31" s="95">
        <v>149380</v>
      </c>
      <c r="DJ31" s="95">
        <v>148020</v>
      </c>
      <c r="DK31" s="95">
        <v>146990</v>
      </c>
      <c r="DL31" s="95">
        <v>147410</v>
      </c>
      <c r="DM31" s="95">
        <v>147470</v>
      </c>
      <c r="DN31" s="95">
        <v>146110</v>
      </c>
      <c r="DO31" s="95">
        <v>144580</v>
      </c>
      <c r="DP31" s="95">
        <v>144370</v>
      </c>
      <c r="DQ31" s="95">
        <v>143390</v>
      </c>
      <c r="DR31" s="95">
        <v>143850</v>
      </c>
      <c r="DS31" s="95">
        <v>147040</v>
      </c>
      <c r="DT31" s="95">
        <v>151740</v>
      </c>
      <c r="DU31" s="232"/>
    </row>
    <row r="32" spans="3:137" ht="15" customHeight="1">
      <c r="C32" s="271" t="s">
        <v>460</v>
      </c>
      <c r="D32" s="244"/>
      <c r="E32" s="244"/>
      <c r="F32" s="244"/>
      <c r="G32" s="244"/>
      <c r="H32" s="244"/>
      <c r="I32" s="244"/>
      <c r="J32" s="244"/>
      <c r="K32" s="244"/>
      <c r="L32" s="244"/>
      <c r="M32" s="244"/>
      <c r="N32" s="268">
        <v>1.6331070702685871E-2</v>
      </c>
      <c r="O32" s="275">
        <v>1.9263872734466947E-2</v>
      </c>
      <c r="V32" s="261">
        <v>2030</v>
      </c>
      <c r="W32" s="153">
        <v>1.9256149913803311E-2</v>
      </c>
      <c r="AU32" s="248" t="s">
        <v>461</v>
      </c>
      <c r="AV32" s="95">
        <v>14820</v>
      </c>
      <c r="AW32" s="89">
        <f t="shared" si="12"/>
        <v>-1.3903268747226694E-2</v>
      </c>
      <c r="AX32" s="95">
        <v>14736</v>
      </c>
      <c r="BF32" s="282" t="s">
        <v>462</v>
      </c>
      <c r="BG32" s="282"/>
      <c r="BH32" s="282"/>
      <c r="BI32" s="282"/>
      <c r="BJ32" s="282"/>
      <c r="BK32" s="282"/>
      <c r="BL32" s="282"/>
      <c r="BM32" s="282"/>
      <c r="BN32" s="282"/>
      <c r="BO32" s="282"/>
      <c r="BP32" s="282"/>
      <c r="BQ32" s="282"/>
      <c r="BR32" s="282"/>
      <c r="BS32" s="282"/>
      <c r="BT32" s="282"/>
      <c r="BU32" s="282"/>
      <c r="BV32" s="282"/>
      <c r="BW32" s="282"/>
      <c r="BX32" s="282"/>
      <c r="BY32" s="282"/>
      <c r="BZ32" s="282"/>
      <c r="CA32" s="282"/>
      <c r="CD32">
        <v>2039</v>
      </c>
      <c r="CE32" s="95">
        <f>SUM([5]Total!$D1895:$W1895)</f>
        <v>1274700</v>
      </c>
      <c r="CF32" s="89">
        <f t="shared" si="7"/>
        <v>-1.5196139867150738E-3</v>
      </c>
      <c r="CL32">
        <v>2032</v>
      </c>
      <c r="CM32" s="279">
        <f>'[8]1. Demo - DHB Devolved'!$H23</f>
        <v>1513.3592164239612</v>
      </c>
      <c r="CN32" s="280">
        <f>'[8]1. Demo - DHB Devolved'!$I23</f>
        <v>6.5820877741846751E-3</v>
      </c>
      <c r="CR32" s="248" t="s">
        <v>369</v>
      </c>
      <c r="CS32" s="95">
        <v>143970</v>
      </c>
      <c r="CT32" s="95">
        <v>139410</v>
      </c>
      <c r="CU32" s="95">
        <v>135500</v>
      </c>
      <c r="CV32" s="95">
        <v>133020</v>
      </c>
      <c r="CW32" s="95">
        <v>131890</v>
      </c>
      <c r="CX32" s="95">
        <v>132640</v>
      </c>
      <c r="CY32" s="95">
        <v>132660</v>
      </c>
      <c r="CZ32" s="95">
        <v>133110</v>
      </c>
      <c r="DA32" s="95">
        <v>133070</v>
      </c>
      <c r="DB32" s="95">
        <v>134330</v>
      </c>
      <c r="DC32" s="95">
        <v>136140</v>
      </c>
      <c r="DD32" s="95">
        <v>140470</v>
      </c>
      <c r="DE32" s="95">
        <v>145050</v>
      </c>
      <c r="DF32" s="95">
        <v>147850</v>
      </c>
      <c r="DG32" s="95">
        <v>150830</v>
      </c>
      <c r="DH32" s="95">
        <v>154160</v>
      </c>
      <c r="DI32" s="95">
        <v>155970</v>
      </c>
      <c r="DJ32" s="95">
        <v>156530</v>
      </c>
      <c r="DK32" s="95">
        <v>156720</v>
      </c>
      <c r="DL32" s="95">
        <v>156270</v>
      </c>
      <c r="DM32" s="95">
        <v>154220</v>
      </c>
      <c r="DN32" s="95">
        <v>153000</v>
      </c>
      <c r="DO32" s="95">
        <v>152330</v>
      </c>
      <c r="DP32" s="95">
        <v>152140</v>
      </c>
      <c r="DQ32" s="95">
        <v>153330</v>
      </c>
      <c r="DR32" s="95">
        <v>154530</v>
      </c>
      <c r="DS32" s="95">
        <v>154030</v>
      </c>
      <c r="DT32" s="95">
        <v>153090</v>
      </c>
      <c r="DU32" s="232"/>
      <c r="EE32" s="149"/>
      <c r="EF32" s="149"/>
      <c r="EG32" s="149"/>
    </row>
    <row r="33" spans="3:137" ht="15" customHeight="1">
      <c r="C33" s="271" t="s">
        <v>463</v>
      </c>
      <c r="D33" s="244"/>
      <c r="E33" s="244"/>
      <c r="F33" s="244"/>
      <c r="G33" s="244"/>
      <c r="H33" s="244"/>
      <c r="I33" s="244"/>
      <c r="J33" s="244"/>
      <c r="K33" s="244"/>
      <c r="L33" s="244"/>
      <c r="M33" s="244"/>
      <c r="N33" s="268">
        <v>1.6533775902855173E-2</v>
      </c>
      <c r="O33" s="275">
        <v>1.9219589752865085E-2</v>
      </c>
      <c r="V33" s="266">
        <v>2031</v>
      </c>
      <c r="W33" s="153">
        <v>1.9314160041259854E-2</v>
      </c>
      <c r="AU33" s="248" t="s">
        <v>464</v>
      </c>
      <c r="AV33" s="95">
        <v>14397</v>
      </c>
      <c r="AW33" s="89">
        <f t="shared" si="12"/>
        <v>-4.088096282219944E-2</v>
      </c>
      <c r="AX33" s="95">
        <v>14313</v>
      </c>
      <c r="BF33" s="282"/>
      <c r="BG33" s="282"/>
      <c r="BH33" s="282"/>
      <c r="BI33" s="282"/>
      <c r="BJ33" s="282"/>
      <c r="BK33" s="282"/>
      <c r="BL33" s="282"/>
      <c r="BM33" s="282"/>
      <c r="BN33" s="282"/>
      <c r="BO33" s="282"/>
      <c r="BP33" s="282"/>
      <c r="BQ33" s="282"/>
      <c r="BR33" s="282"/>
      <c r="BS33" s="282"/>
      <c r="BT33" s="282"/>
      <c r="BU33" s="282"/>
      <c r="BV33" s="282"/>
      <c r="BW33" s="282"/>
      <c r="BX33" s="282"/>
      <c r="BY33" s="282"/>
      <c r="BZ33" s="282"/>
      <c r="CA33" s="282"/>
      <c r="CD33">
        <v>2040</v>
      </c>
      <c r="CE33" s="95">
        <f>SUM([5]Total!$D1896:$W1896)</f>
        <v>1272420</v>
      </c>
      <c r="CF33" s="89">
        <f t="shared" si="7"/>
        <v>-1.7886561543892787E-3</v>
      </c>
      <c r="CL33">
        <v>2033</v>
      </c>
      <c r="CM33" s="279">
        <f>'[8]1. Demo - DHB Devolved'!$H24</f>
        <v>1523.3553635888509</v>
      </c>
      <c r="CN33" s="280">
        <f>'[8]1. Demo - DHB Devolved'!$I24</f>
        <v>6.6052706167873954E-3</v>
      </c>
      <c r="CR33" s="248" t="s">
        <v>373</v>
      </c>
      <c r="CS33" s="95">
        <v>144950</v>
      </c>
      <c r="CT33" s="95">
        <v>146470</v>
      </c>
      <c r="CU33" s="95">
        <v>146610</v>
      </c>
      <c r="CV33" s="95">
        <v>145960</v>
      </c>
      <c r="CW33" s="95">
        <v>143920</v>
      </c>
      <c r="CX33" s="95">
        <v>140090</v>
      </c>
      <c r="CY33" s="95">
        <v>136330</v>
      </c>
      <c r="CZ33" s="95">
        <v>132210</v>
      </c>
      <c r="DA33" s="95">
        <v>129100</v>
      </c>
      <c r="DB33" s="95">
        <v>126970</v>
      </c>
      <c r="DC33" s="95">
        <v>127600</v>
      </c>
      <c r="DD33" s="95">
        <v>131980</v>
      </c>
      <c r="DE33" s="95">
        <v>137990</v>
      </c>
      <c r="DF33" s="95">
        <v>141200</v>
      </c>
      <c r="DG33" s="95">
        <v>143300</v>
      </c>
      <c r="DH33" s="95">
        <v>145330</v>
      </c>
      <c r="DI33" s="95">
        <v>144540</v>
      </c>
      <c r="DJ33" s="95">
        <v>144350</v>
      </c>
      <c r="DK33" s="95">
        <v>145730</v>
      </c>
      <c r="DL33" s="95">
        <v>149320</v>
      </c>
      <c r="DM33" s="95">
        <v>152740</v>
      </c>
      <c r="DN33" s="95">
        <v>154300</v>
      </c>
      <c r="DO33" s="95">
        <v>155740</v>
      </c>
      <c r="DP33" s="95">
        <v>159330</v>
      </c>
      <c r="DQ33" s="95">
        <v>163200</v>
      </c>
      <c r="DR33" s="95">
        <v>166630</v>
      </c>
      <c r="DS33" s="95">
        <v>170200</v>
      </c>
      <c r="DT33" s="95">
        <v>171820</v>
      </c>
      <c r="DU33" s="232"/>
      <c r="EF33" s="153"/>
      <c r="EG33" s="153"/>
    </row>
    <row r="34" spans="3:137" ht="15" customHeight="1">
      <c r="C34" s="271" t="s">
        <v>465</v>
      </c>
      <c r="D34" s="244"/>
      <c r="E34" s="244"/>
      <c r="F34" s="244"/>
      <c r="G34" s="244"/>
      <c r="H34" s="244"/>
      <c r="I34" s="244"/>
      <c r="J34" s="244"/>
      <c r="K34" s="244"/>
      <c r="L34" s="244"/>
      <c r="M34" s="244"/>
      <c r="N34" s="268">
        <v>1.6904812653786162E-2</v>
      </c>
      <c r="O34" s="275">
        <v>2.0188073015755315E-2</v>
      </c>
      <c r="V34" s="261">
        <v>2032</v>
      </c>
      <c r="W34" s="153">
        <v>2.007625846295924E-2</v>
      </c>
      <c r="AU34" s="248" t="s">
        <v>466</v>
      </c>
      <c r="AV34" s="95">
        <v>15210</v>
      </c>
      <c r="AW34" s="89">
        <f t="shared" si="12"/>
        <v>-3.7331371106205546E-2</v>
      </c>
      <c r="AX34" s="95">
        <v>15111</v>
      </c>
      <c r="BF34" s="282" t="s">
        <v>467</v>
      </c>
      <c r="BG34" s="282"/>
      <c r="BH34" s="282"/>
      <c r="BI34" s="282"/>
      <c r="BJ34" s="282"/>
      <c r="BK34" s="282"/>
      <c r="BL34" s="282"/>
      <c r="BM34" s="282"/>
      <c r="BN34" s="282"/>
      <c r="BO34" s="282"/>
      <c r="BP34" s="282"/>
      <c r="BQ34" s="282"/>
      <c r="BR34" s="282"/>
      <c r="BS34" s="282"/>
      <c r="BT34" s="282"/>
      <c r="BU34" s="282"/>
      <c r="BV34" s="282"/>
      <c r="BW34" s="282"/>
      <c r="BX34" s="282"/>
      <c r="BY34" s="282"/>
      <c r="BZ34" s="282"/>
      <c r="CA34" s="282"/>
      <c r="CD34">
        <v>2041</v>
      </c>
      <c r="CE34" s="95">
        <f>SUM([5]Total!$D1897:$W1897)</f>
        <v>1269910</v>
      </c>
      <c r="CF34" s="89">
        <f t="shared" si="7"/>
        <v>-1.9726191037550134E-3</v>
      </c>
      <c r="CR34" s="248" t="s">
        <v>377</v>
      </c>
      <c r="CS34" s="95">
        <v>144490</v>
      </c>
      <c r="CT34" s="95">
        <v>141920</v>
      </c>
      <c r="CU34" s="95">
        <v>140520</v>
      </c>
      <c r="CV34" s="95">
        <v>140650</v>
      </c>
      <c r="CW34" s="95">
        <v>142510</v>
      </c>
      <c r="CX34" s="95">
        <v>145750</v>
      </c>
      <c r="CY34" s="95">
        <v>147310</v>
      </c>
      <c r="CZ34" s="95">
        <v>145690</v>
      </c>
      <c r="DA34" s="95">
        <v>142610</v>
      </c>
      <c r="DB34" s="95">
        <v>138930</v>
      </c>
      <c r="DC34" s="95">
        <v>132640</v>
      </c>
      <c r="DD34" s="95">
        <v>130060</v>
      </c>
      <c r="DE34" s="95">
        <v>129490</v>
      </c>
      <c r="DF34" s="95">
        <v>130130</v>
      </c>
      <c r="DG34" s="95">
        <v>131130</v>
      </c>
      <c r="DH34" s="95">
        <v>133600</v>
      </c>
      <c r="DI34" s="95">
        <v>135470</v>
      </c>
      <c r="DJ34" s="95">
        <v>137430</v>
      </c>
      <c r="DK34" s="95">
        <v>139000</v>
      </c>
      <c r="DL34" s="95">
        <v>140550</v>
      </c>
      <c r="DM34" s="95">
        <v>140800</v>
      </c>
      <c r="DN34" s="95">
        <v>140570</v>
      </c>
      <c r="DO34" s="95">
        <v>142160</v>
      </c>
      <c r="DP34" s="95">
        <v>147870</v>
      </c>
      <c r="DQ34" s="95">
        <v>156760</v>
      </c>
      <c r="DR34" s="95">
        <v>168410</v>
      </c>
      <c r="DS34" s="95">
        <v>178800</v>
      </c>
      <c r="DT34" s="95">
        <v>186200</v>
      </c>
      <c r="DU34" s="232"/>
    </row>
    <row r="35" spans="3:137" ht="15" customHeight="1">
      <c r="C35" s="271" t="s">
        <v>468</v>
      </c>
      <c r="D35" s="244"/>
      <c r="E35" s="244"/>
      <c r="F35" s="244"/>
      <c r="G35" s="244"/>
      <c r="H35" s="244"/>
      <c r="I35" s="244"/>
      <c r="J35" s="244"/>
      <c r="K35" s="244"/>
      <c r="L35" s="244"/>
      <c r="M35" s="244"/>
      <c r="N35" s="268">
        <v>1.5910726047552056E-2</v>
      </c>
      <c r="O35" s="275">
        <v>1.9658874851778751E-2</v>
      </c>
      <c r="V35" s="266">
        <v>2033</v>
      </c>
      <c r="W35" s="153">
        <v>1.9417956671748504E-2</v>
      </c>
      <c r="AU35" s="248" t="s">
        <v>469</v>
      </c>
      <c r="AV35" s="95">
        <v>14535</v>
      </c>
      <c r="AW35" s="89">
        <f t="shared" si="12"/>
        <v>-2.1215139442231079E-2</v>
      </c>
      <c r="AX35" s="95">
        <v>14448</v>
      </c>
      <c r="BF35" s="282"/>
      <c r="BG35" s="282"/>
      <c r="BH35" s="282"/>
      <c r="BI35" s="282"/>
      <c r="BJ35" s="282"/>
      <c r="BK35" s="282"/>
      <c r="BL35" s="282"/>
      <c r="BM35" s="282"/>
      <c r="BN35" s="282"/>
      <c r="BO35" s="282"/>
      <c r="BP35" s="282"/>
      <c r="BQ35" s="282"/>
      <c r="BR35" s="282"/>
      <c r="BS35" s="282"/>
      <c r="BT35" s="282"/>
      <c r="BU35" s="282"/>
      <c r="BV35" s="282"/>
      <c r="BW35" s="282"/>
      <c r="BX35" s="282"/>
      <c r="BY35" s="282"/>
      <c r="BZ35" s="282"/>
      <c r="CA35" s="282"/>
      <c r="CD35">
        <v>2042</v>
      </c>
      <c r="CE35" s="95">
        <f>SUM([5]Total!$D1898:$W1898)</f>
        <v>1267330</v>
      </c>
      <c r="CF35" s="89">
        <f t="shared" si="7"/>
        <v>-2.0316400374830179E-3</v>
      </c>
      <c r="CR35" s="248" t="s">
        <v>381</v>
      </c>
      <c r="CS35" s="95">
        <v>144250</v>
      </c>
      <c r="CT35" s="95">
        <v>147970</v>
      </c>
      <c r="CU35" s="95">
        <v>151330</v>
      </c>
      <c r="CV35" s="95">
        <v>153200</v>
      </c>
      <c r="CW35" s="95">
        <v>154100</v>
      </c>
      <c r="CX35" s="95">
        <v>154320</v>
      </c>
      <c r="CY35" s="95">
        <v>153910</v>
      </c>
      <c r="CZ35" s="95">
        <v>152800</v>
      </c>
      <c r="DA35" s="95">
        <v>151740</v>
      </c>
      <c r="DB35" s="95">
        <v>151510</v>
      </c>
      <c r="DC35" s="95">
        <v>152070</v>
      </c>
      <c r="DD35" s="95">
        <v>154020</v>
      </c>
      <c r="DE35" s="95">
        <v>155780</v>
      </c>
      <c r="DF35" s="95">
        <v>155560</v>
      </c>
      <c r="DG35" s="95">
        <v>153720</v>
      </c>
      <c r="DH35" s="95">
        <v>149700</v>
      </c>
      <c r="DI35" s="95">
        <v>145660</v>
      </c>
      <c r="DJ35" s="95">
        <v>142060</v>
      </c>
      <c r="DK35" s="95">
        <v>140450</v>
      </c>
      <c r="DL35" s="95">
        <v>139890</v>
      </c>
      <c r="DM35" s="95">
        <v>140000</v>
      </c>
      <c r="DN35" s="95">
        <v>140280</v>
      </c>
      <c r="DO35" s="95">
        <v>141580</v>
      </c>
      <c r="DP35" s="95">
        <v>144170</v>
      </c>
      <c r="DQ35" s="95">
        <v>148490</v>
      </c>
      <c r="DR35" s="95">
        <v>154190</v>
      </c>
      <c r="DS35" s="95">
        <v>160770</v>
      </c>
      <c r="DT35" s="95">
        <v>168800</v>
      </c>
      <c r="DU35" s="232"/>
    </row>
    <row r="36" spans="3:137" ht="15" customHeight="1">
      <c r="AU36" s="248" t="s">
        <v>470</v>
      </c>
      <c r="AV36" s="95">
        <v>14061</v>
      </c>
      <c r="AW36" s="89">
        <f t="shared" si="12"/>
        <v>-2.999850007499627E-2</v>
      </c>
      <c r="AX36" s="95">
        <v>13962</v>
      </c>
      <c r="BF36" s="282" t="s">
        <v>471</v>
      </c>
      <c r="BG36" s="282"/>
      <c r="BH36" s="282"/>
      <c r="BI36" s="282"/>
      <c r="BJ36" s="282"/>
      <c r="BK36" s="282"/>
      <c r="BL36" s="282"/>
      <c r="BM36" s="282"/>
      <c r="BN36" s="282"/>
      <c r="BO36" s="282"/>
      <c r="BP36" s="282"/>
      <c r="BQ36" s="282"/>
      <c r="BR36" s="282"/>
      <c r="BS36" s="282"/>
      <c r="BT36" s="282"/>
      <c r="BU36" s="282"/>
      <c r="BV36" s="282"/>
      <c r="BW36" s="282"/>
      <c r="BX36" s="282"/>
      <c r="BY36" s="282"/>
      <c r="BZ36" s="282"/>
      <c r="CA36" s="282"/>
      <c r="CD36">
        <v>2043</v>
      </c>
      <c r="CE36" s="95">
        <f>SUM([5]Total!$D1899:$W1899)</f>
        <v>1264870</v>
      </c>
      <c r="CF36" s="89">
        <f t="shared" si="7"/>
        <v>-1.9410887456305925E-3</v>
      </c>
      <c r="CR36" s="248" t="s">
        <v>385</v>
      </c>
      <c r="CS36" s="95">
        <v>129120</v>
      </c>
      <c r="CT36" s="95">
        <v>131960</v>
      </c>
      <c r="CU36" s="95">
        <v>135420</v>
      </c>
      <c r="CV36" s="95">
        <v>139880</v>
      </c>
      <c r="CW36" s="95">
        <v>144620</v>
      </c>
      <c r="CX36" s="95">
        <v>150250</v>
      </c>
      <c r="CY36" s="95">
        <v>155660</v>
      </c>
      <c r="CZ36" s="95">
        <v>159720</v>
      </c>
      <c r="DA36" s="95">
        <v>160940</v>
      </c>
      <c r="DB36" s="95">
        <v>160500</v>
      </c>
      <c r="DC36" s="95">
        <v>158100</v>
      </c>
      <c r="DD36" s="95">
        <v>158000</v>
      </c>
      <c r="DE36" s="95">
        <v>158550</v>
      </c>
      <c r="DF36" s="95">
        <v>159390</v>
      </c>
      <c r="DG36" s="95">
        <v>160650</v>
      </c>
      <c r="DH36" s="95">
        <v>163430</v>
      </c>
      <c r="DI36" s="95">
        <v>165110</v>
      </c>
      <c r="DJ36" s="95">
        <v>164810</v>
      </c>
      <c r="DK36" s="95">
        <v>163110</v>
      </c>
      <c r="DL36" s="95">
        <v>160420</v>
      </c>
      <c r="DM36" s="95">
        <v>154710</v>
      </c>
      <c r="DN36" s="95">
        <v>149150</v>
      </c>
      <c r="DO36" s="95">
        <v>144860</v>
      </c>
      <c r="DP36" s="95">
        <v>143040</v>
      </c>
      <c r="DQ36" s="95">
        <v>142930</v>
      </c>
      <c r="DR36" s="95">
        <v>145160</v>
      </c>
      <c r="DS36" s="95">
        <v>148790</v>
      </c>
      <c r="DT36" s="95">
        <v>153560</v>
      </c>
      <c r="DU36" s="232"/>
    </row>
    <row r="37" spans="3:137" ht="15" customHeight="1">
      <c r="AU37" s="248" t="s">
        <v>472</v>
      </c>
      <c r="AV37" s="95">
        <v>13803</v>
      </c>
      <c r="AW37" s="89">
        <f t="shared" si="12"/>
        <v>-2.4436090225563922E-2</v>
      </c>
      <c r="AX37" s="95">
        <v>13719</v>
      </c>
      <c r="BF37" s="282" t="s">
        <v>473</v>
      </c>
      <c r="BG37" s="282"/>
      <c r="BH37" s="282"/>
      <c r="BI37" s="282"/>
      <c r="BJ37" s="282"/>
      <c r="BK37" s="282"/>
      <c r="BL37" s="282"/>
      <c r="BM37" s="282"/>
      <c r="BN37" s="282"/>
      <c r="BO37" s="282"/>
      <c r="BP37" s="282"/>
      <c r="BQ37" s="282"/>
      <c r="BR37" s="282"/>
      <c r="BS37" s="282"/>
      <c r="BT37" s="282"/>
      <c r="BU37" s="282"/>
      <c r="BV37" s="282"/>
      <c r="BW37" s="282"/>
      <c r="BX37" s="282"/>
      <c r="BY37" s="282"/>
      <c r="BZ37" s="282"/>
      <c r="CA37" s="282"/>
      <c r="CR37" s="248" t="s">
        <v>389</v>
      </c>
      <c r="CS37" s="95">
        <v>122830</v>
      </c>
      <c r="CT37" s="95">
        <v>122940</v>
      </c>
      <c r="CU37" s="95">
        <v>123700</v>
      </c>
      <c r="CV37" s="95">
        <v>126280</v>
      </c>
      <c r="CW37" s="95">
        <v>129170</v>
      </c>
      <c r="CX37" s="95">
        <v>133510</v>
      </c>
      <c r="CY37" s="95">
        <v>137450</v>
      </c>
      <c r="CZ37" s="95">
        <v>140990</v>
      </c>
      <c r="DA37" s="95">
        <v>144670</v>
      </c>
      <c r="DB37" s="95">
        <v>148090</v>
      </c>
      <c r="DC37" s="95">
        <v>151870</v>
      </c>
      <c r="DD37" s="95">
        <v>157460</v>
      </c>
      <c r="DE37" s="95">
        <v>162970</v>
      </c>
      <c r="DF37" s="95">
        <v>166110</v>
      </c>
      <c r="DG37" s="95">
        <v>167060</v>
      </c>
      <c r="DH37" s="95">
        <v>166540</v>
      </c>
      <c r="DI37" s="95">
        <v>165100</v>
      </c>
      <c r="DJ37" s="95">
        <v>163300</v>
      </c>
      <c r="DK37" s="95">
        <v>163090</v>
      </c>
      <c r="DL37" s="95">
        <v>163980</v>
      </c>
      <c r="DM37" s="95">
        <v>165930</v>
      </c>
      <c r="DN37" s="95">
        <v>166740</v>
      </c>
      <c r="DO37" s="95">
        <v>166410</v>
      </c>
      <c r="DP37" s="95">
        <v>164810</v>
      </c>
      <c r="DQ37" s="95">
        <v>162380</v>
      </c>
      <c r="DR37" s="95">
        <v>157590</v>
      </c>
      <c r="DS37" s="95">
        <v>154130</v>
      </c>
      <c r="DT37" s="95">
        <v>151060</v>
      </c>
      <c r="DU37" s="232"/>
    </row>
    <row r="38" spans="3:137" ht="15" customHeight="1">
      <c r="AU38" s="248" t="s">
        <v>474</v>
      </c>
      <c r="AV38" s="95">
        <v>15399</v>
      </c>
      <c r="AW38" s="89">
        <f t="shared" si="12"/>
        <v>-1.8242967794537268E-2</v>
      </c>
      <c r="AX38" s="95">
        <v>15345</v>
      </c>
      <c r="BF38" s="282"/>
      <c r="BG38" s="282"/>
      <c r="BH38" s="282"/>
      <c r="BI38" s="282"/>
      <c r="BJ38" s="282"/>
      <c r="BK38" s="282"/>
      <c r="BL38" s="282"/>
      <c r="BM38" s="282"/>
      <c r="BN38" s="282"/>
      <c r="BO38" s="282"/>
      <c r="BP38" s="282"/>
      <c r="BQ38" s="282"/>
      <c r="BR38" s="282"/>
      <c r="BS38" s="282"/>
      <c r="BT38" s="282"/>
      <c r="BU38" s="282"/>
      <c r="BV38" s="282"/>
      <c r="BW38" s="282"/>
      <c r="BX38" s="282"/>
      <c r="BY38" s="282"/>
      <c r="BZ38" s="282"/>
      <c r="CA38" s="282"/>
      <c r="CC38" t="s">
        <v>475</v>
      </c>
      <c r="CR38" s="248" t="s">
        <v>393</v>
      </c>
      <c r="CS38" s="95">
        <v>97120</v>
      </c>
      <c r="CT38" s="95">
        <v>102360</v>
      </c>
      <c r="CU38" s="95">
        <v>109540</v>
      </c>
      <c r="CV38" s="95">
        <v>115050</v>
      </c>
      <c r="CW38" s="95">
        <v>120190</v>
      </c>
      <c r="CX38" s="95">
        <v>124450</v>
      </c>
      <c r="CY38" s="95">
        <v>125460</v>
      </c>
      <c r="CZ38" s="95">
        <v>126390</v>
      </c>
      <c r="DA38" s="95">
        <v>128250</v>
      </c>
      <c r="DB38" s="95">
        <v>130040</v>
      </c>
      <c r="DC38" s="95">
        <v>132760</v>
      </c>
      <c r="DD38" s="95">
        <v>136720</v>
      </c>
      <c r="DE38" s="95">
        <v>141400</v>
      </c>
      <c r="DF38" s="95">
        <v>146440</v>
      </c>
      <c r="DG38" s="95">
        <v>150870</v>
      </c>
      <c r="DH38" s="95">
        <v>156040</v>
      </c>
      <c r="DI38" s="95">
        <v>160720</v>
      </c>
      <c r="DJ38" s="95">
        <v>164900</v>
      </c>
      <c r="DK38" s="95">
        <v>166830</v>
      </c>
      <c r="DL38" s="95">
        <v>167320</v>
      </c>
      <c r="DM38" s="95">
        <v>165720</v>
      </c>
      <c r="DN38" s="95">
        <v>163590</v>
      </c>
      <c r="DO38" s="95">
        <v>161890</v>
      </c>
      <c r="DP38" s="95">
        <v>161780</v>
      </c>
      <c r="DQ38" s="95">
        <v>163190</v>
      </c>
      <c r="DR38" s="95">
        <v>166350</v>
      </c>
      <c r="DS38" s="95">
        <v>168370</v>
      </c>
      <c r="DT38" s="95">
        <v>169230</v>
      </c>
      <c r="DU38" s="232"/>
    </row>
    <row r="39" spans="3:137" ht="15" customHeight="1">
      <c r="Y39" s="287" t="s">
        <v>476</v>
      </c>
      <c r="Z39" s="288">
        <v>2.2499999999999999E-2</v>
      </c>
      <c r="AA39" s="289"/>
      <c r="AG39" s="290">
        <v>21</v>
      </c>
      <c r="AH39" s="290">
        <v>293</v>
      </c>
      <c r="AI39" s="290">
        <v>293</v>
      </c>
      <c r="AJ39" s="290">
        <v>293</v>
      </c>
      <c r="AK39" s="290">
        <v>293</v>
      </c>
      <c r="AL39" s="88">
        <f>SUM(AG39:AK39)</f>
        <v>1193</v>
      </c>
      <c r="AU39" s="248" t="s">
        <v>477</v>
      </c>
      <c r="AV39" s="95">
        <v>16677</v>
      </c>
      <c r="AW39" s="89">
        <f t="shared" si="12"/>
        <v>1.6586954309555368E-2</v>
      </c>
      <c r="AX39" s="95">
        <v>16593</v>
      </c>
      <c r="BF39" s="282" t="s">
        <v>478</v>
      </c>
      <c r="BG39" s="282"/>
      <c r="BH39" s="282"/>
      <c r="BI39" s="282"/>
      <c r="BJ39" s="282"/>
      <c r="BK39" s="282"/>
      <c r="BL39" s="282"/>
      <c r="BM39" s="282"/>
      <c r="BN39" s="282"/>
      <c r="BO39" s="282"/>
      <c r="BP39" s="282"/>
      <c r="BQ39" s="282"/>
      <c r="BR39" s="282"/>
      <c r="BS39" s="282"/>
      <c r="BT39" s="282"/>
      <c r="BU39" s="282"/>
      <c r="BV39" s="282"/>
      <c r="BW39" s="282"/>
      <c r="BX39" s="282"/>
      <c r="BY39" s="282"/>
      <c r="BZ39" s="282"/>
      <c r="CA39" s="282"/>
      <c r="CR39" s="248" t="s">
        <v>397</v>
      </c>
      <c r="CS39" s="95">
        <v>84340</v>
      </c>
      <c r="CT39" s="95">
        <v>88050</v>
      </c>
      <c r="CU39" s="95">
        <v>89620</v>
      </c>
      <c r="CV39" s="95">
        <v>92090</v>
      </c>
      <c r="CW39" s="95">
        <v>94400</v>
      </c>
      <c r="CX39" s="95">
        <v>96180</v>
      </c>
      <c r="CY39" s="95">
        <v>101980</v>
      </c>
      <c r="CZ39" s="95">
        <v>109520</v>
      </c>
      <c r="DA39" s="95">
        <v>114850</v>
      </c>
      <c r="DB39" s="95">
        <v>119640</v>
      </c>
      <c r="DC39" s="95">
        <v>123090</v>
      </c>
      <c r="DD39" s="95">
        <v>123710</v>
      </c>
      <c r="DE39" s="95">
        <v>124950</v>
      </c>
      <c r="DF39" s="95">
        <v>127490</v>
      </c>
      <c r="DG39" s="95">
        <v>130080</v>
      </c>
      <c r="DH39" s="95">
        <v>133720</v>
      </c>
      <c r="DI39" s="95">
        <v>137370</v>
      </c>
      <c r="DJ39" s="95">
        <v>141130</v>
      </c>
      <c r="DK39" s="95">
        <v>145240</v>
      </c>
      <c r="DL39" s="95">
        <v>149500</v>
      </c>
      <c r="DM39" s="95">
        <v>153890</v>
      </c>
      <c r="DN39" s="95">
        <v>158090</v>
      </c>
      <c r="DO39" s="95">
        <v>161990</v>
      </c>
      <c r="DP39" s="95">
        <v>164040</v>
      </c>
      <c r="DQ39" s="95">
        <v>164650</v>
      </c>
      <c r="DR39" s="95">
        <v>163710</v>
      </c>
      <c r="DS39" s="95">
        <v>162860</v>
      </c>
      <c r="DT39" s="95">
        <v>161960</v>
      </c>
      <c r="DU39" s="232"/>
    </row>
    <row r="40" spans="3:137" ht="15.75" customHeight="1">
      <c r="Y40" s="291">
        <v>2018</v>
      </c>
      <c r="Z40" s="292">
        <f>16432+21</f>
        <v>16453</v>
      </c>
      <c r="AA40" s="293" t="s">
        <v>479</v>
      </c>
      <c r="AG40" s="294"/>
      <c r="AH40" s="290">
        <v>554</v>
      </c>
      <c r="AI40" s="295">
        <v>1243</v>
      </c>
      <c r="AJ40" s="295">
        <v>2069</v>
      </c>
      <c r="AK40" s="295">
        <v>2864</v>
      </c>
      <c r="AL40" s="88">
        <f>SUM(AG40:AK40)</f>
        <v>6730</v>
      </c>
      <c r="AU40" s="248" t="s">
        <v>480</v>
      </c>
      <c r="AV40" s="95">
        <v>14982</v>
      </c>
      <c r="AW40" s="89">
        <f t="shared" si="12"/>
        <v>4.5667749085098741E-2</v>
      </c>
      <c r="AX40" s="95">
        <v>14904</v>
      </c>
      <c r="BF40" s="282" t="s">
        <v>481</v>
      </c>
      <c r="BG40" s="282"/>
      <c r="BH40" s="282"/>
      <c r="BI40" s="282"/>
      <c r="BJ40" s="282"/>
      <c r="BK40" s="282"/>
      <c r="BL40" s="282"/>
      <c r="BM40" s="282"/>
      <c r="BN40" s="282"/>
      <c r="BO40" s="282"/>
      <c r="BP40" s="282"/>
      <c r="BQ40" s="282"/>
      <c r="BR40" s="282"/>
      <c r="BS40" s="282"/>
      <c r="BT40" s="282"/>
      <c r="BU40" s="282"/>
      <c r="BV40" s="282"/>
      <c r="BW40" s="282"/>
      <c r="BX40" s="282"/>
      <c r="BY40" s="282"/>
      <c r="BZ40" s="282"/>
      <c r="CA40" s="282"/>
      <c r="CC40" s="296" t="s">
        <v>482</v>
      </c>
      <c r="CD40" s="296"/>
      <c r="CE40" s="296"/>
      <c r="CF40" s="296"/>
      <c r="CG40" s="296"/>
      <c r="CH40" s="296"/>
      <c r="CI40" s="296"/>
      <c r="CJ40" s="296"/>
      <c r="CK40" s="296"/>
      <c r="CL40" s="296"/>
      <c r="CM40" s="296"/>
      <c r="CN40" s="296"/>
      <c r="CO40" s="296"/>
      <c r="CR40" s="248" t="s">
        <v>403</v>
      </c>
      <c r="CS40" s="95">
        <v>71680</v>
      </c>
      <c r="CT40" s="95">
        <v>72340</v>
      </c>
      <c r="CU40" s="95">
        <v>73330</v>
      </c>
      <c r="CV40" s="95">
        <v>75190</v>
      </c>
      <c r="CW40" s="95">
        <v>78610</v>
      </c>
      <c r="CX40" s="95">
        <v>82670</v>
      </c>
      <c r="CY40" s="95">
        <v>86590</v>
      </c>
      <c r="CZ40" s="95">
        <v>88540</v>
      </c>
      <c r="DA40" s="95">
        <v>91110</v>
      </c>
      <c r="DB40" s="95">
        <v>93420</v>
      </c>
      <c r="DC40" s="95">
        <v>95290</v>
      </c>
      <c r="DD40" s="95">
        <v>101000</v>
      </c>
      <c r="DE40" s="95">
        <v>108590</v>
      </c>
      <c r="DF40" s="95">
        <v>113950</v>
      </c>
      <c r="DG40" s="95">
        <v>119090</v>
      </c>
      <c r="DH40" s="95">
        <v>122930</v>
      </c>
      <c r="DI40" s="95">
        <v>123180</v>
      </c>
      <c r="DJ40" s="95">
        <v>123900</v>
      </c>
      <c r="DK40" s="95">
        <v>126280</v>
      </c>
      <c r="DL40" s="95">
        <v>128780</v>
      </c>
      <c r="DM40" s="95">
        <v>132270</v>
      </c>
      <c r="DN40" s="95">
        <v>136040</v>
      </c>
      <c r="DO40" s="95">
        <v>139590</v>
      </c>
      <c r="DP40" s="95">
        <v>143680</v>
      </c>
      <c r="DQ40" s="95">
        <v>147850</v>
      </c>
      <c r="DR40" s="95">
        <v>152710</v>
      </c>
      <c r="DS40" s="95">
        <v>157370</v>
      </c>
      <c r="DT40" s="95">
        <v>161710</v>
      </c>
      <c r="DU40" s="232"/>
    </row>
    <row r="41" spans="3:137" ht="15.75" customHeight="1" thickBot="1">
      <c r="D41" t="s">
        <v>276</v>
      </c>
      <c r="Y41" s="297">
        <v>2019</v>
      </c>
      <c r="Z41" s="292">
        <f>Z40*(1+W21)*(1+$Z$39)</f>
        <v>17237.407038462516</v>
      </c>
      <c r="AA41" s="293"/>
      <c r="AE41" s="53">
        <f>Z41-Z40</f>
        <v>784.40703846251563</v>
      </c>
      <c r="AF41" s="53">
        <f>AE41</f>
        <v>784.40703846251563</v>
      </c>
      <c r="AG41" s="290">
        <v>21</v>
      </c>
      <c r="AH41" s="290">
        <v>846</v>
      </c>
      <c r="AI41" s="295">
        <v>1535</v>
      </c>
      <c r="AJ41" s="295">
        <v>2361</v>
      </c>
      <c r="AK41" s="295">
        <v>3157</v>
      </c>
      <c r="AL41" s="88">
        <f>SUM(AG41:AK41)</f>
        <v>7920</v>
      </c>
      <c r="AU41" s="248" t="s">
        <v>483</v>
      </c>
      <c r="AV41" s="95">
        <v>14271</v>
      </c>
      <c r="AW41" s="89">
        <f t="shared" si="12"/>
        <v>6.4573243763995203E-2</v>
      </c>
      <c r="AX41" s="95">
        <v>14199</v>
      </c>
      <c r="BF41" s="282" t="s">
        <v>484</v>
      </c>
      <c r="BG41" s="282"/>
      <c r="BH41" s="282"/>
      <c r="BI41" s="282"/>
      <c r="BJ41" s="282"/>
      <c r="BK41" s="282"/>
      <c r="BL41" s="282"/>
      <c r="BM41" s="282"/>
      <c r="BN41" s="282"/>
      <c r="BO41" s="282"/>
      <c r="BP41" s="282"/>
      <c r="BQ41" s="282"/>
      <c r="BR41" s="282"/>
      <c r="BS41" s="282"/>
      <c r="BT41" s="282"/>
      <c r="BU41" s="282"/>
      <c r="BV41" s="282"/>
      <c r="BW41" s="282"/>
      <c r="BX41" s="282"/>
      <c r="BY41" s="282"/>
      <c r="BZ41" s="282"/>
      <c r="CA41" s="282"/>
      <c r="CC41" s="298" t="s">
        <v>485</v>
      </c>
      <c r="CD41" s="299" t="s">
        <v>486</v>
      </c>
      <c r="CE41" s="300"/>
      <c r="CF41" s="299" t="s">
        <v>487</v>
      </c>
      <c r="CG41" s="301"/>
      <c r="CH41" s="299" t="s">
        <v>488</v>
      </c>
      <c r="CI41" s="300"/>
      <c r="CJ41" s="299" t="s">
        <v>489</v>
      </c>
      <c r="CK41" s="300"/>
      <c r="CL41" s="299" t="s">
        <v>490</v>
      </c>
      <c r="CM41" s="300"/>
      <c r="CN41" s="299" t="s">
        <v>491</v>
      </c>
      <c r="CO41" s="300"/>
      <c r="CR41" s="248" t="s">
        <v>408</v>
      </c>
      <c r="CS41" s="95">
        <v>72970</v>
      </c>
      <c r="CT41" s="95">
        <v>72510</v>
      </c>
      <c r="CU41" s="95">
        <v>71770</v>
      </c>
      <c r="CV41" s="95">
        <v>70920</v>
      </c>
      <c r="CW41" s="95">
        <v>69740</v>
      </c>
      <c r="CX41" s="95">
        <v>69150</v>
      </c>
      <c r="CY41" s="95">
        <v>70240</v>
      </c>
      <c r="CZ41" s="95">
        <v>71650</v>
      </c>
      <c r="DA41" s="95">
        <v>74080</v>
      </c>
      <c r="DB41" s="95">
        <v>77580</v>
      </c>
      <c r="DC41" s="95">
        <v>81740</v>
      </c>
      <c r="DD41" s="95">
        <v>85650</v>
      </c>
      <c r="DE41" s="95">
        <v>87290</v>
      </c>
      <c r="DF41" s="95">
        <v>90040</v>
      </c>
      <c r="DG41" s="95">
        <v>92510</v>
      </c>
      <c r="DH41" s="95">
        <v>94760</v>
      </c>
      <c r="DI41" s="95">
        <v>100300</v>
      </c>
      <c r="DJ41" s="95">
        <v>107630</v>
      </c>
      <c r="DK41" s="95">
        <v>112710</v>
      </c>
      <c r="DL41" s="95">
        <v>117520</v>
      </c>
      <c r="DM41" s="95">
        <v>121240</v>
      </c>
      <c r="DN41" s="95">
        <v>121900</v>
      </c>
      <c r="DO41" s="95">
        <v>123110</v>
      </c>
      <c r="DP41" s="95">
        <v>125730</v>
      </c>
      <c r="DQ41" s="95">
        <v>128500</v>
      </c>
      <c r="DR41" s="95">
        <v>132410</v>
      </c>
      <c r="DS41" s="95">
        <v>136600</v>
      </c>
      <c r="DT41" s="95">
        <v>140610</v>
      </c>
      <c r="DU41" s="232"/>
    </row>
    <row r="42" spans="3:137" ht="15.75" customHeight="1" thickBot="1">
      <c r="C42" t="s">
        <v>492</v>
      </c>
      <c r="Y42" s="291">
        <v>2020</v>
      </c>
      <c r="Z42" s="292">
        <f>Z41*(1+W22)*(1+$Z$39)</f>
        <v>18035.541262272527</v>
      </c>
      <c r="AA42" s="293"/>
      <c r="AE42" s="53">
        <f>Z42-Z41</f>
        <v>798.13422381001146</v>
      </c>
      <c r="AF42" s="53">
        <f>AE42+AF41</f>
        <v>1582.5412622725271</v>
      </c>
      <c r="AU42" s="248" t="s">
        <v>493</v>
      </c>
      <c r="AV42" s="95">
        <v>14835</v>
      </c>
      <c r="AW42" s="89">
        <f t="shared" si="12"/>
        <v>5.1333956192255892E-2</v>
      </c>
      <c r="AX42" s="95">
        <v>14775</v>
      </c>
      <c r="BF42" s="282" t="s">
        <v>494</v>
      </c>
      <c r="BG42" s="282"/>
      <c r="BH42" s="282"/>
      <c r="BI42" s="282"/>
      <c r="BJ42" s="282"/>
      <c r="BK42" s="282"/>
      <c r="BL42" s="282"/>
      <c r="BM42" s="282"/>
      <c r="BN42" s="282"/>
      <c r="BO42" s="282"/>
      <c r="BP42" s="282"/>
      <c r="BQ42" s="282"/>
      <c r="BR42" s="282"/>
      <c r="BS42" s="282"/>
      <c r="BT42" s="282"/>
      <c r="BU42" s="282"/>
      <c r="BV42" s="282"/>
      <c r="BW42" s="282"/>
      <c r="BX42" s="282"/>
      <c r="BY42" s="282"/>
      <c r="BZ42" s="282"/>
      <c r="CA42" s="282"/>
      <c r="CC42" s="302" t="s">
        <v>495</v>
      </c>
      <c r="CD42" s="303" t="s">
        <v>496</v>
      </c>
      <c r="CE42" s="300" t="s">
        <v>497</v>
      </c>
      <c r="CF42" s="303" t="s">
        <v>496</v>
      </c>
      <c r="CG42" s="300" t="s">
        <v>497</v>
      </c>
      <c r="CH42" s="303" t="s">
        <v>496</v>
      </c>
      <c r="CI42" s="300" t="s">
        <v>497</v>
      </c>
      <c r="CJ42" s="303" t="s">
        <v>496</v>
      </c>
      <c r="CK42" s="300" t="s">
        <v>497</v>
      </c>
      <c r="CL42" s="303" t="s">
        <v>496</v>
      </c>
      <c r="CM42" s="300" t="s">
        <v>497</v>
      </c>
      <c r="CN42" s="303" t="s">
        <v>496</v>
      </c>
      <c r="CO42" s="300" t="s">
        <v>497</v>
      </c>
      <c r="CR42" s="248" t="s">
        <v>414</v>
      </c>
      <c r="CS42" s="95">
        <v>69080</v>
      </c>
      <c r="CT42" s="95">
        <v>68610</v>
      </c>
      <c r="CU42" s="95">
        <v>68760</v>
      </c>
      <c r="CV42" s="95">
        <v>68910</v>
      </c>
      <c r="CW42" s="95">
        <v>68740</v>
      </c>
      <c r="CX42" s="95">
        <v>68720</v>
      </c>
      <c r="CY42" s="95">
        <v>68410</v>
      </c>
      <c r="CZ42" s="95">
        <v>67950</v>
      </c>
      <c r="DA42" s="95">
        <v>67560</v>
      </c>
      <c r="DB42" s="95">
        <v>66940</v>
      </c>
      <c r="DC42" s="95">
        <v>67120</v>
      </c>
      <c r="DD42" s="95">
        <v>68240</v>
      </c>
      <c r="DE42" s="95">
        <v>69630</v>
      </c>
      <c r="DF42" s="95">
        <v>71950</v>
      </c>
      <c r="DG42" s="95">
        <v>75510</v>
      </c>
      <c r="DH42" s="95">
        <v>79910</v>
      </c>
      <c r="DI42" s="95">
        <v>83620</v>
      </c>
      <c r="DJ42" s="95">
        <v>84980</v>
      </c>
      <c r="DK42" s="95">
        <v>87610</v>
      </c>
      <c r="DL42" s="95">
        <v>90080</v>
      </c>
      <c r="DM42" s="95">
        <v>92280</v>
      </c>
      <c r="DN42" s="95">
        <v>97740</v>
      </c>
      <c r="DO42" s="95">
        <v>105190</v>
      </c>
      <c r="DP42" s="95">
        <v>110590</v>
      </c>
      <c r="DQ42" s="95">
        <v>115510</v>
      </c>
      <c r="DR42" s="95">
        <v>119340</v>
      </c>
      <c r="DS42" s="95">
        <v>120490</v>
      </c>
      <c r="DT42" s="95">
        <v>121850</v>
      </c>
      <c r="DU42" s="232"/>
    </row>
    <row r="43" spans="3:137" ht="15" customHeight="1">
      <c r="C43" t="s">
        <v>498</v>
      </c>
      <c r="D43">
        <v>2004</v>
      </c>
      <c r="E43">
        <v>2005</v>
      </c>
      <c r="F43">
        <v>2006</v>
      </c>
      <c r="G43">
        <v>2007</v>
      </c>
      <c r="H43">
        <v>2008</v>
      </c>
      <c r="I43">
        <v>2009</v>
      </c>
      <c r="J43">
        <v>2010</v>
      </c>
      <c r="K43">
        <v>2011</v>
      </c>
      <c r="L43">
        <v>2012</v>
      </c>
      <c r="M43">
        <v>2013</v>
      </c>
      <c r="N43">
        <v>2014</v>
      </c>
      <c r="O43">
        <v>2015</v>
      </c>
      <c r="Y43" s="297">
        <v>2021</v>
      </c>
      <c r="Z43" s="292">
        <f>Z42*(1+W23)*(1+$Z$39)</f>
        <v>18846.812150004709</v>
      </c>
      <c r="AA43" s="293"/>
      <c r="AE43" s="53">
        <f>Z43-Z42</f>
        <v>811.27088773218202</v>
      </c>
      <c r="AF43" s="53">
        <f>AE43+AF42</f>
        <v>2393.8121500047091</v>
      </c>
      <c r="AU43" s="248" t="s">
        <v>499</v>
      </c>
      <c r="AV43" s="95">
        <v>15216</v>
      </c>
      <c r="AW43" s="89">
        <f t="shared" si="12"/>
        <v>-1.0610610610610638E-2</v>
      </c>
      <c r="AX43" s="95">
        <v>15114</v>
      </c>
      <c r="BF43" s="282" t="s">
        <v>500</v>
      </c>
      <c r="BG43" s="282"/>
      <c r="BH43" s="282"/>
      <c r="BI43" s="282"/>
      <c r="BJ43" s="282"/>
      <c r="BK43" s="282"/>
      <c r="BL43" s="282"/>
      <c r="BM43" s="282"/>
      <c r="BN43" s="282"/>
      <c r="BO43" s="282"/>
      <c r="BP43" s="282"/>
      <c r="BQ43" s="282"/>
      <c r="BR43" s="282"/>
      <c r="BS43" s="282"/>
      <c r="BT43" s="282"/>
      <c r="BU43" s="282"/>
      <c r="BV43" s="282"/>
      <c r="BW43" s="282"/>
      <c r="BX43" s="282"/>
      <c r="BY43" s="282"/>
      <c r="BZ43" s="282"/>
      <c r="CA43" s="282"/>
      <c r="CC43" s="304" t="s">
        <v>501</v>
      </c>
      <c r="CD43" s="305">
        <v>2410.7521634947125</v>
      </c>
      <c r="CE43" s="305">
        <v>2787.7563780184369</v>
      </c>
      <c r="CF43" s="305">
        <v>0</v>
      </c>
      <c r="CG43" s="305">
        <v>0</v>
      </c>
      <c r="CH43" s="305">
        <v>3.9683004105951278</v>
      </c>
      <c r="CI43" s="305">
        <v>6.2563430045918436</v>
      </c>
      <c r="CJ43" s="305">
        <v>126.92276181642042</v>
      </c>
      <c r="CK43" s="305">
        <v>126.86708275952303</v>
      </c>
      <c r="CL43" s="305">
        <v>72.607943750739551</v>
      </c>
      <c r="CM43" s="305">
        <v>99.066770710754824</v>
      </c>
      <c r="CN43" s="305">
        <f t="shared" ref="CN43:CO60" si="16">SUM(CD43,CF43,CH43,CJ43,CL43)</f>
        <v>2614.2511694724676</v>
      </c>
      <c r="CO43" s="305">
        <f t="shared" si="16"/>
        <v>3019.9465744933068</v>
      </c>
      <c r="CR43" s="248" t="s">
        <v>419</v>
      </c>
      <c r="CS43" s="95">
        <v>57870</v>
      </c>
      <c r="CT43" s="95">
        <v>59170</v>
      </c>
      <c r="CU43" s="95">
        <v>60720</v>
      </c>
      <c r="CV43" s="95">
        <v>62370</v>
      </c>
      <c r="CW43" s="95">
        <v>62750</v>
      </c>
      <c r="CX43" s="95">
        <v>62880</v>
      </c>
      <c r="CY43" s="95">
        <v>62530</v>
      </c>
      <c r="CZ43" s="95">
        <v>62860</v>
      </c>
      <c r="DA43" s="95">
        <v>62920</v>
      </c>
      <c r="DB43" s="95">
        <v>62820</v>
      </c>
      <c r="DC43" s="95">
        <v>63310</v>
      </c>
      <c r="DD43" s="95">
        <v>63230</v>
      </c>
      <c r="DE43" s="95">
        <v>63120</v>
      </c>
      <c r="DF43" s="95">
        <v>62940</v>
      </c>
      <c r="DG43" s="95">
        <v>62530</v>
      </c>
      <c r="DH43" s="95">
        <v>62790</v>
      </c>
      <c r="DI43" s="95">
        <v>63850</v>
      </c>
      <c r="DJ43" s="95">
        <v>65270</v>
      </c>
      <c r="DK43" s="95">
        <v>67440</v>
      </c>
      <c r="DL43" s="95">
        <v>70740</v>
      </c>
      <c r="DM43" s="95">
        <v>74730</v>
      </c>
      <c r="DN43" s="95">
        <v>78530</v>
      </c>
      <c r="DO43" s="95">
        <v>80000</v>
      </c>
      <c r="DP43" s="95">
        <v>82900</v>
      </c>
      <c r="DQ43" s="95">
        <v>85620</v>
      </c>
      <c r="DR43" s="95">
        <v>88050</v>
      </c>
      <c r="DS43" s="95">
        <v>93690</v>
      </c>
      <c r="DT43" s="95">
        <v>100890</v>
      </c>
      <c r="DU43" s="232"/>
    </row>
    <row r="44" spans="3:137" ht="15" customHeight="1">
      <c r="C44" s="306" t="s">
        <v>295</v>
      </c>
      <c r="D44" s="307">
        <v>4034392.5</v>
      </c>
      <c r="E44" s="307"/>
      <c r="F44" s="307"/>
      <c r="G44" s="307"/>
      <c r="H44" s="307"/>
      <c r="I44" s="307"/>
      <c r="J44" s="307"/>
      <c r="K44" s="307"/>
      <c r="L44" s="307"/>
      <c r="M44" s="307"/>
      <c r="N44" s="307"/>
      <c r="O44" s="244"/>
      <c r="R44" t="s">
        <v>296</v>
      </c>
      <c r="S44" t="s">
        <v>297</v>
      </c>
      <c r="T44" t="s">
        <v>298</v>
      </c>
      <c r="Y44" s="308">
        <v>2022</v>
      </c>
      <c r="Z44" s="309">
        <f>Z43*(1+W24)*(1+$Z$39)</f>
        <v>19671.989245284265</v>
      </c>
      <c r="AA44" s="310"/>
      <c r="AE44" s="53">
        <f>Z44-Z43</f>
        <v>825.17709527955594</v>
      </c>
      <c r="AF44" s="53">
        <f>AE44+AF43</f>
        <v>3218.9892452842651</v>
      </c>
      <c r="AU44" s="248" t="s">
        <v>502</v>
      </c>
      <c r="AV44" s="95">
        <v>15213</v>
      </c>
      <c r="AW44" s="89">
        <f t="shared" si="12"/>
        <v>-2.1787351505890507E-2</v>
      </c>
      <c r="AX44" s="95">
        <v>15126</v>
      </c>
      <c r="BF44" s="282" t="s">
        <v>503</v>
      </c>
      <c r="BG44" s="282"/>
      <c r="BH44" s="282"/>
      <c r="BI44" s="282"/>
      <c r="BJ44" s="282"/>
      <c r="BK44" s="282"/>
      <c r="BL44" s="282"/>
      <c r="BM44" s="282"/>
      <c r="BN44" s="282"/>
      <c r="BO44" s="282"/>
      <c r="BP44" s="282"/>
      <c r="BQ44" s="282"/>
      <c r="BR44" s="282"/>
      <c r="BS44" s="282"/>
      <c r="BT44" s="282"/>
      <c r="BU44" s="282"/>
      <c r="BV44" s="282"/>
      <c r="BW44" s="282"/>
      <c r="BX44" s="282"/>
      <c r="BY44" s="282"/>
      <c r="BZ44" s="282"/>
      <c r="CA44" s="282"/>
      <c r="CC44" s="304" t="s">
        <v>504</v>
      </c>
      <c r="CD44" s="305">
        <v>697.23095857699548</v>
      </c>
      <c r="CE44" s="305">
        <v>793.05654904691221</v>
      </c>
      <c r="CF44" s="305">
        <v>0</v>
      </c>
      <c r="CG44" s="305">
        <v>0</v>
      </c>
      <c r="CH44" s="305">
        <v>34.619801339974188</v>
      </c>
      <c r="CI44" s="305">
        <v>92.870144171716859</v>
      </c>
      <c r="CJ44" s="305">
        <v>161.18261938612491</v>
      </c>
      <c r="CK44" s="305">
        <v>161.40068896955586</v>
      </c>
      <c r="CL44" s="305">
        <v>81.1768661770666</v>
      </c>
      <c r="CM44" s="305">
        <v>150.22961870837258</v>
      </c>
      <c r="CN44" s="305">
        <f t="shared" si="16"/>
        <v>974.21024548016112</v>
      </c>
      <c r="CO44" s="305">
        <f t="shared" si="16"/>
        <v>1197.5570008965574</v>
      </c>
      <c r="CR44" s="248" t="s">
        <v>425</v>
      </c>
      <c r="CS44" s="95">
        <v>46360</v>
      </c>
      <c r="CT44" s="95">
        <v>47250</v>
      </c>
      <c r="CU44" s="95">
        <v>47310</v>
      </c>
      <c r="CV44" s="95">
        <v>47010</v>
      </c>
      <c r="CW44" s="95">
        <v>48230</v>
      </c>
      <c r="CX44" s="95">
        <v>49520</v>
      </c>
      <c r="CY44" s="95">
        <v>50860</v>
      </c>
      <c r="CZ44" s="95">
        <v>52250</v>
      </c>
      <c r="DA44" s="95">
        <v>53860</v>
      </c>
      <c r="DB44" s="95">
        <v>54430</v>
      </c>
      <c r="DC44" s="95">
        <v>54710</v>
      </c>
      <c r="DD44" s="95">
        <v>54580</v>
      </c>
      <c r="DE44" s="95">
        <v>55070</v>
      </c>
      <c r="DF44" s="95">
        <v>55360</v>
      </c>
      <c r="DG44" s="95">
        <v>55500</v>
      </c>
      <c r="DH44" s="95">
        <v>56030</v>
      </c>
      <c r="DI44" s="95">
        <v>56050</v>
      </c>
      <c r="DJ44" s="95">
        <v>56030</v>
      </c>
      <c r="DK44" s="95">
        <v>55920</v>
      </c>
      <c r="DL44" s="95">
        <v>55620</v>
      </c>
      <c r="DM44" s="95">
        <v>55800</v>
      </c>
      <c r="DN44" s="95">
        <v>56910</v>
      </c>
      <c r="DO44" s="95">
        <v>58330</v>
      </c>
      <c r="DP44" s="95">
        <v>60560</v>
      </c>
      <c r="DQ44" s="95">
        <v>64010</v>
      </c>
      <c r="DR44" s="95">
        <v>68070</v>
      </c>
      <c r="DS44" s="95">
        <v>71830</v>
      </c>
      <c r="DT44" s="95">
        <v>73310</v>
      </c>
      <c r="DU44" s="232"/>
    </row>
    <row r="45" spans="3:137" ht="15" customHeight="1">
      <c r="C45" s="311" t="s">
        <v>350</v>
      </c>
      <c r="D45" s="307">
        <v>4079827.5</v>
      </c>
      <c r="E45" s="307">
        <v>4078299</v>
      </c>
      <c r="F45" s="307"/>
      <c r="G45" s="307"/>
      <c r="H45" s="307"/>
      <c r="I45" s="307"/>
      <c r="J45" s="307"/>
      <c r="K45" s="307"/>
      <c r="L45" s="307"/>
      <c r="M45" s="307"/>
      <c r="N45" s="307"/>
      <c r="O45" s="244"/>
      <c r="Q45" s="251" t="s">
        <v>350</v>
      </c>
      <c r="R45" s="312"/>
      <c r="S45" s="244"/>
      <c r="T45" s="244"/>
      <c r="AF45" s="53">
        <f>SUM(AF41:AF44)</f>
        <v>7979.7496960240169</v>
      </c>
      <c r="AU45" s="248" t="s">
        <v>505</v>
      </c>
      <c r="AV45" s="95">
        <v>14484</v>
      </c>
      <c r="AW45" s="89">
        <f t="shared" si="12"/>
        <v>-2.5778995255099524E-2</v>
      </c>
      <c r="AX45" s="95">
        <v>14409</v>
      </c>
      <c r="BF45" s="282" t="s">
        <v>506</v>
      </c>
      <c r="BG45" s="282"/>
      <c r="BH45" s="282"/>
      <c r="BI45" s="282"/>
      <c r="BJ45" s="282"/>
      <c r="BK45" s="282"/>
      <c r="BL45" s="282"/>
      <c r="BM45" s="282"/>
      <c r="BN45" s="282"/>
      <c r="BO45" s="282"/>
      <c r="BP45" s="282"/>
      <c r="BQ45" s="282"/>
      <c r="BR45" s="282"/>
      <c r="BS45" s="282"/>
      <c r="BT45" s="282"/>
      <c r="BU45" s="282"/>
      <c r="BV45" s="282"/>
      <c r="BW45" s="282"/>
      <c r="BX45" s="282"/>
      <c r="BY45" s="282"/>
      <c r="BZ45" s="282"/>
      <c r="CA45" s="282"/>
      <c r="CC45" s="304" t="s">
        <v>507</v>
      </c>
      <c r="CD45" s="305">
        <v>663.83708062256062</v>
      </c>
      <c r="CE45" s="305">
        <v>777.68441118326939</v>
      </c>
      <c r="CF45" s="305">
        <v>0</v>
      </c>
      <c r="CG45" s="305">
        <v>0</v>
      </c>
      <c r="CH45" s="305">
        <v>127.16897573878718</v>
      </c>
      <c r="CI45" s="305">
        <v>156.6085733575388</v>
      </c>
      <c r="CJ45" s="305">
        <v>159.4625975608528</v>
      </c>
      <c r="CK45" s="305">
        <v>159.27010626421597</v>
      </c>
      <c r="CL45" s="305">
        <v>97.061278227997377</v>
      </c>
      <c r="CM45" s="305">
        <v>162.96905391134294</v>
      </c>
      <c r="CN45" s="305">
        <f t="shared" si="16"/>
        <v>1047.529932150198</v>
      </c>
      <c r="CO45" s="305">
        <f t="shared" si="16"/>
        <v>1256.5321447163669</v>
      </c>
      <c r="CR45" s="248" t="s">
        <v>430</v>
      </c>
      <c r="CS45" s="95">
        <v>30100</v>
      </c>
      <c r="CT45" s="95">
        <v>31320</v>
      </c>
      <c r="CU45" s="95">
        <v>32560</v>
      </c>
      <c r="CV45" s="95">
        <v>33630</v>
      </c>
      <c r="CW45" s="95">
        <v>34760</v>
      </c>
      <c r="CX45" s="95">
        <v>35570</v>
      </c>
      <c r="CY45" s="95">
        <v>36410</v>
      </c>
      <c r="CZ45" s="95">
        <v>36680</v>
      </c>
      <c r="DA45" s="95">
        <v>36600</v>
      </c>
      <c r="DB45" s="95">
        <v>37750</v>
      </c>
      <c r="DC45" s="95">
        <v>39110</v>
      </c>
      <c r="DD45" s="95">
        <v>40340</v>
      </c>
      <c r="DE45" s="95">
        <v>41580</v>
      </c>
      <c r="DF45" s="95">
        <v>43010</v>
      </c>
      <c r="DG45" s="95">
        <v>43590</v>
      </c>
      <c r="DH45" s="95">
        <v>44000</v>
      </c>
      <c r="DI45" s="95">
        <v>44150</v>
      </c>
      <c r="DJ45" s="95">
        <v>44640</v>
      </c>
      <c r="DK45" s="95">
        <v>44890</v>
      </c>
      <c r="DL45" s="95">
        <v>45190</v>
      </c>
      <c r="DM45" s="95">
        <v>45730</v>
      </c>
      <c r="DN45" s="95">
        <v>45760</v>
      </c>
      <c r="DO45" s="95">
        <v>46030</v>
      </c>
      <c r="DP45" s="95">
        <v>46250</v>
      </c>
      <c r="DQ45" s="95">
        <v>46030</v>
      </c>
      <c r="DR45" s="95">
        <v>46400</v>
      </c>
      <c r="DS45" s="95">
        <v>47590</v>
      </c>
      <c r="DT45" s="95">
        <v>49100</v>
      </c>
      <c r="DU45" s="232"/>
    </row>
    <row r="46" spans="3:137" ht="15" customHeight="1">
      <c r="C46" s="311" t="s">
        <v>354</v>
      </c>
      <c r="D46" s="313">
        <v>4117957.5</v>
      </c>
      <c r="E46" s="307">
        <v>4110869</v>
      </c>
      <c r="F46" s="307">
        <v>4118677.5</v>
      </c>
      <c r="G46" s="307"/>
      <c r="H46" s="307"/>
      <c r="I46" s="307"/>
      <c r="J46" s="307"/>
      <c r="K46" s="307"/>
      <c r="L46" s="307"/>
      <c r="M46" s="307"/>
      <c r="N46" s="307"/>
      <c r="O46" s="244"/>
      <c r="Q46" s="251" t="s">
        <v>354</v>
      </c>
      <c r="R46" s="307">
        <f>D46</f>
        <v>4117957.5</v>
      </c>
      <c r="S46" s="307">
        <f>E46</f>
        <v>4110869</v>
      </c>
      <c r="T46" s="307">
        <f>S46-R46</f>
        <v>-7088.5</v>
      </c>
      <c r="U46" s="9"/>
      <c r="AU46" s="248" t="s">
        <v>508</v>
      </c>
      <c r="AV46" s="95">
        <v>14619</v>
      </c>
      <c r="AW46" s="89">
        <f t="shared" si="12"/>
        <v>-2.0291286102196993E-2</v>
      </c>
      <c r="AX46" s="95">
        <v>14547</v>
      </c>
      <c r="BF46" s="282" t="s">
        <v>509</v>
      </c>
      <c r="BG46" s="282"/>
      <c r="BH46" s="282"/>
      <c r="BI46" s="282"/>
      <c r="BJ46" s="282"/>
      <c r="BK46" s="282"/>
      <c r="BL46" s="282"/>
      <c r="BM46" s="282"/>
      <c r="BN46" s="282"/>
      <c r="BO46" s="282"/>
      <c r="BP46" s="282"/>
      <c r="BQ46" s="282"/>
      <c r="BR46" s="282"/>
      <c r="BS46" s="282"/>
      <c r="BT46" s="282"/>
      <c r="BU46" s="282"/>
      <c r="BV46" s="282"/>
      <c r="BW46" s="282"/>
      <c r="BX46" s="282"/>
      <c r="BY46" s="282"/>
      <c r="BZ46" s="282"/>
      <c r="CA46" s="282"/>
      <c r="CC46" s="304" t="s">
        <v>510</v>
      </c>
      <c r="CD46" s="305">
        <v>1088.0151029219078</v>
      </c>
      <c r="CE46" s="305">
        <v>799.60364611080126</v>
      </c>
      <c r="CF46" s="305">
        <v>0</v>
      </c>
      <c r="CG46" s="305">
        <v>0</v>
      </c>
      <c r="CH46" s="305">
        <v>352.21651219641194</v>
      </c>
      <c r="CI46" s="305">
        <v>271.34751614113998</v>
      </c>
      <c r="CJ46" s="305">
        <v>152.48406475117622</v>
      </c>
      <c r="CK46" s="305">
        <v>151.68825099408846</v>
      </c>
      <c r="CL46" s="305">
        <v>95.762266051665904</v>
      </c>
      <c r="CM46" s="305">
        <v>172.60909164096086</v>
      </c>
      <c r="CN46" s="305">
        <f t="shared" si="16"/>
        <v>1688.4779459211618</v>
      </c>
      <c r="CO46" s="305">
        <f t="shared" si="16"/>
        <v>1395.2485048869908</v>
      </c>
      <c r="CR46" s="248" t="s">
        <v>434</v>
      </c>
      <c r="CS46" s="95">
        <v>15360</v>
      </c>
      <c r="CT46" s="95">
        <v>15940</v>
      </c>
      <c r="CU46" s="95">
        <v>16700</v>
      </c>
      <c r="CV46" s="95">
        <v>17590</v>
      </c>
      <c r="CW46" s="95">
        <v>18360</v>
      </c>
      <c r="CX46" s="95">
        <v>18900</v>
      </c>
      <c r="CY46" s="95">
        <v>19900</v>
      </c>
      <c r="CZ46" s="95">
        <v>20830</v>
      </c>
      <c r="DA46" s="95">
        <v>21670</v>
      </c>
      <c r="DB46" s="95">
        <v>22540</v>
      </c>
      <c r="DC46" s="95">
        <v>23470</v>
      </c>
      <c r="DD46" s="95">
        <v>23830</v>
      </c>
      <c r="DE46" s="95">
        <v>23960</v>
      </c>
      <c r="DF46" s="95">
        <v>23950</v>
      </c>
      <c r="DG46" s="95">
        <v>24870</v>
      </c>
      <c r="DH46" s="95">
        <v>25920</v>
      </c>
      <c r="DI46" s="95">
        <v>27100</v>
      </c>
      <c r="DJ46" s="95">
        <v>27940</v>
      </c>
      <c r="DK46" s="95">
        <v>28990</v>
      </c>
      <c r="DL46" s="95">
        <v>29640</v>
      </c>
      <c r="DM46" s="95">
        <v>29960</v>
      </c>
      <c r="DN46" s="95">
        <v>30080</v>
      </c>
      <c r="DO46" s="95">
        <v>30440</v>
      </c>
      <c r="DP46" s="95">
        <v>31070</v>
      </c>
      <c r="DQ46" s="95">
        <v>31500</v>
      </c>
      <c r="DR46" s="95">
        <v>32250</v>
      </c>
      <c r="DS46" s="95">
        <v>32370</v>
      </c>
      <c r="DT46" s="95">
        <v>32750</v>
      </c>
      <c r="DU46" s="232"/>
    </row>
    <row r="47" spans="3:137" ht="15" customHeight="1">
      <c r="C47" s="311" t="s">
        <v>358</v>
      </c>
      <c r="D47" s="307">
        <v>4155777.5</v>
      </c>
      <c r="E47" s="313">
        <v>4143063</v>
      </c>
      <c r="F47" s="307">
        <v>4161150</v>
      </c>
      <c r="G47" s="314">
        <v>4205670</v>
      </c>
      <c r="H47" s="307">
        <v>4205752.5</v>
      </c>
      <c r="I47" s="307">
        <v>4206035</v>
      </c>
      <c r="J47" s="307">
        <v>4206027.5</v>
      </c>
      <c r="K47" s="307"/>
      <c r="L47" s="307"/>
      <c r="M47" s="307"/>
      <c r="N47" s="307"/>
      <c r="O47" s="244"/>
      <c r="Q47" s="263" t="s">
        <v>358</v>
      </c>
      <c r="R47" s="307">
        <f>E47</f>
        <v>4143063</v>
      </c>
      <c r="S47" s="307">
        <f>F47</f>
        <v>4161150</v>
      </c>
      <c r="T47" s="307">
        <f t="shared" ref="T47:T56" si="17">S47-R47</f>
        <v>18087</v>
      </c>
      <c r="U47" s="9"/>
      <c r="AU47" s="248" t="s">
        <v>511</v>
      </c>
      <c r="AV47" s="95">
        <v>14325</v>
      </c>
      <c r="AW47" s="89">
        <f t="shared" si="12"/>
        <v>-1.1179684338324614E-2</v>
      </c>
      <c r="AX47" s="95">
        <v>14259</v>
      </c>
      <c r="BF47" s="282" t="s">
        <v>512</v>
      </c>
      <c r="BG47" s="282"/>
      <c r="BH47" s="282"/>
      <c r="BI47" s="282"/>
      <c r="BJ47" s="282"/>
      <c r="BK47" s="282"/>
      <c r="BL47" s="282"/>
      <c r="BM47" s="282"/>
      <c r="BN47" s="282"/>
      <c r="BO47" s="282"/>
      <c r="BP47" s="282"/>
      <c r="BQ47" s="282"/>
      <c r="BR47" s="282"/>
      <c r="BS47" s="282"/>
      <c r="BT47" s="282"/>
      <c r="BU47" s="282"/>
      <c r="BV47" s="282"/>
      <c r="BW47" s="282"/>
      <c r="BX47" s="282"/>
      <c r="BY47" s="282"/>
      <c r="BZ47" s="282"/>
      <c r="CA47" s="282"/>
      <c r="CC47" s="304" t="s">
        <v>513</v>
      </c>
      <c r="CD47" s="305">
        <v>1352.2937168259709</v>
      </c>
      <c r="CE47" s="305">
        <v>717.66852486395805</v>
      </c>
      <c r="CF47" s="305">
        <v>0</v>
      </c>
      <c r="CG47" s="305">
        <v>0</v>
      </c>
      <c r="CH47" s="305">
        <v>277.53765257972378</v>
      </c>
      <c r="CI47" s="305">
        <v>420.09306768731881</v>
      </c>
      <c r="CJ47" s="305">
        <v>154.95175903942763</v>
      </c>
      <c r="CK47" s="305">
        <v>152.7412581034138</v>
      </c>
      <c r="CL47" s="305">
        <v>149.24966215429794</v>
      </c>
      <c r="CM47" s="305">
        <v>193.98581833217045</v>
      </c>
      <c r="CN47" s="305">
        <f t="shared" si="16"/>
        <v>1934.0327905994202</v>
      </c>
      <c r="CO47" s="305">
        <f t="shared" si="16"/>
        <v>1484.4886689868613</v>
      </c>
      <c r="CR47" s="248" t="s">
        <v>439</v>
      </c>
      <c r="CS47" s="95">
        <v>22300</v>
      </c>
      <c r="CT47" s="95">
        <v>23300</v>
      </c>
      <c r="CU47" s="95">
        <v>24400</v>
      </c>
      <c r="CV47" s="95">
        <v>25700</v>
      </c>
      <c r="CW47" s="95">
        <v>26800</v>
      </c>
      <c r="CX47" s="95">
        <v>27700</v>
      </c>
      <c r="CY47" s="95">
        <v>29000</v>
      </c>
      <c r="CZ47" s="95">
        <v>30500</v>
      </c>
      <c r="DA47" s="95">
        <v>32000</v>
      </c>
      <c r="DB47" s="95">
        <v>33500</v>
      </c>
      <c r="DC47" s="95">
        <v>34900</v>
      </c>
      <c r="DD47" s="95">
        <v>35900</v>
      </c>
      <c r="DE47" s="95">
        <v>36500</v>
      </c>
      <c r="DF47" s="95">
        <v>37000</v>
      </c>
      <c r="DG47" s="95">
        <v>38400</v>
      </c>
      <c r="DH47" s="95">
        <v>40000</v>
      </c>
      <c r="DI47" s="95">
        <v>41400</v>
      </c>
      <c r="DJ47" s="95">
        <v>42600</v>
      </c>
      <c r="DK47" s="95">
        <v>43800</v>
      </c>
      <c r="DL47" s="95">
        <v>45400</v>
      </c>
      <c r="DM47" s="95">
        <v>46400</v>
      </c>
      <c r="DN47" s="95">
        <v>47100</v>
      </c>
      <c r="DO47" s="95">
        <v>47900</v>
      </c>
      <c r="DP47" s="95">
        <v>49200</v>
      </c>
      <c r="DQ47" s="95">
        <v>50500</v>
      </c>
      <c r="DR47" s="95">
        <v>51700</v>
      </c>
      <c r="DS47" s="95">
        <v>52500</v>
      </c>
      <c r="DT47" s="95">
        <v>53300</v>
      </c>
      <c r="DU47" s="232"/>
    </row>
    <row r="48" spans="3:137" ht="15" customHeight="1">
      <c r="C48" s="311" t="s">
        <v>362</v>
      </c>
      <c r="D48" s="307">
        <v>4193922.5</v>
      </c>
      <c r="E48" s="307">
        <v>4176790</v>
      </c>
      <c r="F48" s="313">
        <v>4203022.5</v>
      </c>
      <c r="G48" s="314">
        <v>4250507.5</v>
      </c>
      <c r="H48" s="307">
        <v>4248602.5</v>
      </c>
      <c r="I48" s="307">
        <v>4248317.5</v>
      </c>
      <c r="J48" s="307">
        <v>4248000</v>
      </c>
      <c r="K48" s="307"/>
      <c r="L48" s="307"/>
      <c r="M48" s="307"/>
      <c r="N48" s="307"/>
      <c r="O48" s="244"/>
      <c r="Q48" s="263" t="s">
        <v>362</v>
      </c>
      <c r="R48" s="307">
        <f>F48</f>
        <v>4203022.5</v>
      </c>
      <c r="S48" s="307">
        <f>G48</f>
        <v>4250507.5</v>
      </c>
      <c r="T48" s="307">
        <f t="shared" si="17"/>
        <v>47485</v>
      </c>
      <c r="U48" s="9"/>
      <c r="AU48" s="248" t="s">
        <v>514</v>
      </c>
      <c r="AV48" s="95">
        <v>15360</v>
      </c>
      <c r="AW48" s="89">
        <f t="shared" si="12"/>
        <v>-1.2547241118669672E-2</v>
      </c>
      <c r="AX48" s="95">
        <v>15276</v>
      </c>
      <c r="BF48" s="282" t="s">
        <v>515</v>
      </c>
      <c r="BG48" s="282"/>
      <c r="BH48" s="282"/>
      <c r="BI48" s="282"/>
      <c r="BJ48" s="282"/>
      <c r="BK48" s="282"/>
      <c r="BL48" s="282"/>
      <c r="BM48" s="282"/>
      <c r="BN48" s="282"/>
      <c r="BO48" s="282"/>
      <c r="BP48" s="282"/>
      <c r="BQ48" s="282"/>
      <c r="BR48" s="282"/>
      <c r="BS48" s="282"/>
      <c r="BT48" s="282"/>
      <c r="BU48" s="282"/>
      <c r="BV48" s="282"/>
      <c r="BW48" s="282"/>
      <c r="BX48" s="282"/>
      <c r="BY48" s="282"/>
      <c r="BZ48" s="282"/>
      <c r="CA48" s="282"/>
      <c r="CC48" s="304" t="s">
        <v>516</v>
      </c>
      <c r="CD48" s="305">
        <v>1548.8048026040317</v>
      </c>
      <c r="CE48" s="305">
        <v>746.63203413856706</v>
      </c>
      <c r="CF48" s="305">
        <v>0</v>
      </c>
      <c r="CG48" s="305">
        <v>0</v>
      </c>
      <c r="CH48" s="305">
        <v>335.02509419861371</v>
      </c>
      <c r="CI48" s="305">
        <v>524.61205267780952</v>
      </c>
      <c r="CJ48" s="305">
        <v>107.42664731493683</v>
      </c>
      <c r="CK48" s="305">
        <v>107.01264196777264</v>
      </c>
      <c r="CL48" s="305">
        <v>235.80489453512305</v>
      </c>
      <c r="CM48" s="305">
        <v>246.19699194577507</v>
      </c>
      <c r="CN48" s="305">
        <f t="shared" si="16"/>
        <v>2227.0614386527054</v>
      </c>
      <c r="CO48" s="305">
        <f t="shared" si="16"/>
        <v>1624.4537207299245</v>
      </c>
      <c r="CR48" s="248" t="s">
        <v>444</v>
      </c>
      <c r="CS48" s="95">
        <v>6960</v>
      </c>
      <c r="CT48" s="95">
        <v>7320</v>
      </c>
      <c r="CU48" s="95">
        <v>7670</v>
      </c>
      <c r="CV48" s="95">
        <v>8160</v>
      </c>
      <c r="CW48" s="95">
        <v>8490</v>
      </c>
      <c r="CX48" s="95">
        <v>8800</v>
      </c>
      <c r="CY48" s="95">
        <v>9140</v>
      </c>
      <c r="CZ48" s="95">
        <v>9660</v>
      </c>
      <c r="DA48" s="95">
        <v>10320</v>
      </c>
      <c r="DB48" s="95">
        <v>10960</v>
      </c>
      <c r="DC48" s="95">
        <v>11440</v>
      </c>
      <c r="DD48" s="95">
        <v>12040</v>
      </c>
      <c r="DE48" s="95">
        <v>12500</v>
      </c>
      <c r="DF48" s="95">
        <v>13010</v>
      </c>
      <c r="DG48" s="95">
        <v>13540</v>
      </c>
      <c r="DH48" s="95">
        <v>14040</v>
      </c>
      <c r="DI48" s="95">
        <v>14320</v>
      </c>
      <c r="DJ48" s="95">
        <v>14710</v>
      </c>
      <c r="DK48" s="95">
        <v>14850</v>
      </c>
      <c r="DL48" s="95">
        <v>15750</v>
      </c>
      <c r="DM48" s="95">
        <v>16430</v>
      </c>
      <c r="DN48" s="95">
        <v>17040</v>
      </c>
      <c r="DO48" s="95">
        <v>17440</v>
      </c>
      <c r="DP48" s="95">
        <v>18150</v>
      </c>
      <c r="DQ48" s="95">
        <v>18970</v>
      </c>
      <c r="DR48" s="95">
        <v>19470</v>
      </c>
      <c r="DS48" s="95">
        <v>20170</v>
      </c>
      <c r="DT48" s="95">
        <v>20520</v>
      </c>
      <c r="DU48" s="232"/>
    </row>
    <row r="49" spans="3:125" ht="15" customHeight="1">
      <c r="C49" s="315" t="s">
        <v>366</v>
      </c>
      <c r="D49" s="307">
        <v>4230782.5</v>
      </c>
      <c r="E49" s="307">
        <v>4209982</v>
      </c>
      <c r="F49" s="307">
        <v>4242205</v>
      </c>
      <c r="G49" s="316">
        <v>4296267.5</v>
      </c>
      <c r="H49" s="307">
        <v>4291965</v>
      </c>
      <c r="I49" s="307">
        <v>4292022.5</v>
      </c>
      <c r="J49" s="307">
        <v>4291715</v>
      </c>
      <c r="K49" s="307">
        <v>4291872.5</v>
      </c>
      <c r="L49" s="307">
        <v>4291830</v>
      </c>
      <c r="M49" s="307">
        <v>4291820</v>
      </c>
      <c r="N49" s="307"/>
      <c r="O49" s="244"/>
      <c r="Q49" s="263" t="s">
        <v>366</v>
      </c>
      <c r="R49" s="307">
        <f>G49</f>
        <v>4296267.5</v>
      </c>
      <c r="S49" s="307">
        <f>H49</f>
        <v>4291965</v>
      </c>
      <c r="T49" s="307">
        <f t="shared" si="17"/>
        <v>-4302.5</v>
      </c>
      <c r="U49" s="9"/>
      <c r="AU49" s="248" t="s">
        <v>517</v>
      </c>
      <c r="AV49" s="95">
        <v>15609</v>
      </c>
      <c r="AW49" s="89">
        <f t="shared" si="12"/>
        <v>2.7615987146012433E-3</v>
      </c>
      <c r="AX49" s="95">
        <v>15531</v>
      </c>
      <c r="BF49" s="282" t="s">
        <v>518</v>
      </c>
      <c r="BG49" s="282"/>
      <c r="BH49" s="282"/>
      <c r="BI49" s="282"/>
      <c r="BJ49" s="282"/>
      <c r="BK49" s="282"/>
      <c r="BL49" s="282"/>
      <c r="BM49" s="282"/>
      <c r="BN49" s="282"/>
      <c r="BO49" s="282"/>
      <c r="BP49" s="282"/>
      <c r="BQ49" s="282"/>
      <c r="BR49" s="282"/>
      <c r="BS49" s="282"/>
      <c r="BT49" s="282"/>
      <c r="BU49" s="282"/>
      <c r="BV49" s="282"/>
      <c r="BW49" s="282"/>
      <c r="BX49" s="282"/>
      <c r="BY49" s="282"/>
      <c r="BZ49" s="282"/>
      <c r="CA49" s="282"/>
      <c r="CC49" s="304" t="s">
        <v>519</v>
      </c>
      <c r="CD49" s="305">
        <v>1774.3143119345007</v>
      </c>
      <c r="CE49" s="305">
        <v>833.93395702016915</v>
      </c>
      <c r="CF49" s="305">
        <v>0</v>
      </c>
      <c r="CG49" s="305">
        <v>0</v>
      </c>
      <c r="CH49" s="305">
        <v>408.03937871902502</v>
      </c>
      <c r="CI49" s="305">
        <v>524.78761219723981</v>
      </c>
      <c r="CJ49" s="305">
        <v>105.33588282779429</v>
      </c>
      <c r="CK49" s="305">
        <v>105.46231491216506</v>
      </c>
      <c r="CL49" s="305">
        <v>241.61626479765869</v>
      </c>
      <c r="CM49" s="305">
        <v>289.38344938697145</v>
      </c>
      <c r="CN49" s="305">
        <f t="shared" si="16"/>
        <v>2529.3058382789786</v>
      </c>
      <c r="CO49" s="305">
        <f t="shared" si="16"/>
        <v>1753.5673335165457</v>
      </c>
      <c r="CR49" s="248" t="s">
        <v>156</v>
      </c>
      <c r="CS49" s="255"/>
      <c r="CT49" s="255"/>
      <c r="CU49" s="255"/>
      <c r="CV49" s="255"/>
      <c r="CW49" s="255"/>
      <c r="CX49" s="255"/>
      <c r="CY49" s="255"/>
      <c r="CZ49" s="255"/>
      <c r="DA49" s="255"/>
      <c r="DB49" s="255"/>
      <c r="DC49" s="255"/>
      <c r="DD49" s="255"/>
      <c r="DE49" s="255"/>
      <c r="DF49" s="255"/>
      <c r="DG49" s="255"/>
      <c r="DH49" s="255"/>
      <c r="DI49" s="255"/>
      <c r="DJ49" s="255"/>
      <c r="DK49" s="255"/>
      <c r="DL49" s="255"/>
      <c r="DM49" s="255"/>
      <c r="DN49" s="255"/>
      <c r="DO49" s="255"/>
      <c r="DP49" s="255"/>
      <c r="DQ49" s="255"/>
      <c r="DR49" s="255"/>
      <c r="DS49" s="255"/>
      <c r="DT49" s="255"/>
      <c r="DU49" s="256"/>
    </row>
    <row r="50" spans="3:125" ht="15" customHeight="1">
      <c r="C50" s="315" t="s">
        <v>370</v>
      </c>
      <c r="D50" s="307">
        <v>4266125</v>
      </c>
      <c r="E50" s="307">
        <v>4242923</v>
      </c>
      <c r="F50" s="307">
        <v>4279650</v>
      </c>
      <c r="G50" s="314">
        <v>4340017.5</v>
      </c>
      <c r="H50" s="313">
        <v>4335702.5</v>
      </c>
      <c r="I50" s="307">
        <v>4343270</v>
      </c>
      <c r="J50" s="307">
        <v>4344447.5</v>
      </c>
      <c r="K50" s="307">
        <v>4341325</v>
      </c>
      <c r="L50" s="307">
        <v>4341287.5</v>
      </c>
      <c r="M50" s="307">
        <v>4341342.5</v>
      </c>
      <c r="N50" s="307"/>
      <c r="O50" s="244"/>
      <c r="Q50" s="263" t="s">
        <v>370</v>
      </c>
      <c r="R50" s="307">
        <f>H50</f>
        <v>4335702.5</v>
      </c>
      <c r="S50" s="307">
        <f>I50</f>
        <v>4343270</v>
      </c>
      <c r="T50" s="307">
        <f t="shared" si="17"/>
        <v>7567.5</v>
      </c>
      <c r="U50" s="9"/>
      <c r="AU50" s="248" t="s">
        <v>520</v>
      </c>
      <c r="AV50" s="95">
        <v>15069</v>
      </c>
      <c r="AW50" s="89">
        <f t="shared" si="12"/>
        <v>1.3958879258214152E-2</v>
      </c>
      <c r="AX50" s="95">
        <v>14976</v>
      </c>
      <c r="BF50" s="282" t="s">
        <v>521</v>
      </c>
      <c r="BG50" s="282"/>
      <c r="BH50" s="282"/>
      <c r="BI50" s="282"/>
      <c r="BJ50" s="282"/>
      <c r="BK50" s="282"/>
      <c r="BL50" s="282"/>
      <c r="BM50" s="282"/>
      <c r="BN50" s="282"/>
      <c r="BO50" s="282"/>
      <c r="BP50" s="282"/>
      <c r="BQ50" s="282"/>
      <c r="BR50" s="282"/>
      <c r="BS50" s="282"/>
      <c r="BT50" s="282"/>
      <c r="BU50" s="282"/>
      <c r="BV50" s="282"/>
      <c r="BW50" s="282"/>
      <c r="BX50" s="282"/>
      <c r="BY50" s="282"/>
      <c r="BZ50" s="282"/>
      <c r="CA50" s="282"/>
      <c r="CC50" s="304" t="s">
        <v>522</v>
      </c>
      <c r="CD50" s="305">
        <v>1576.9056138673814</v>
      </c>
      <c r="CE50" s="305">
        <v>905.23068238565872</v>
      </c>
      <c r="CF50" s="305">
        <v>0</v>
      </c>
      <c r="CG50" s="305">
        <v>0</v>
      </c>
      <c r="CH50" s="305">
        <v>431.00961175033348</v>
      </c>
      <c r="CI50" s="305">
        <v>473.03825721851621</v>
      </c>
      <c r="CJ50" s="305">
        <v>102.31150895915131</v>
      </c>
      <c r="CK50" s="305">
        <v>102.78988085479416</v>
      </c>
      <c r="CL50" s="305">
        <v>310.5094895178363</v>
      </c>
      <c r="CM50" s="305">
        <v>288.63138970593735</v>
      </c>
      <c r="CN50" s="305">
        <f t="shared" si="16"/>
        <v>2420.7362240947027</v>
      </c>
      <c r="CO50" s="305">
        <f t="shared" si="16"/>
        <v>1769.6902101649064</v>
      </c>
      <c r="CR50" s="248" t="s">
        <v>357</v>
      </c>
      <c r="CS50" s="95">
        <v>287210</v>
      </c>
      <c r="CT50" s="95">
        <v>293300</v>
      </c>
      <c r="CU50" s="95">
        <v>295660</v>
      </c>
      <c r="CV50" s="95">
        <v>296990</v>
      </c>
      <c r="CW50" s="95">
        <v>297000</v>
      </c>
      <c r="CX50" s="95">
        <v>294700</v>
      </c>
      <c r="CY50" s="95">
        <v>292080</v>
      </c>
      <c r="CZ50" s="95">
        <v>289950</v>
      </c>
      <c r="DA50" s="95">
        <v>285790</v>
      </c>
      <c r="DB50" s="95">
        <v>283420</v>
      </c>
      <c r="DC50" s="95">
        <v>281000</v>
      </c>
      <c r="DD50" s="95">
        <v>281140</v>
      </c>
      <c r="DE50" s="95">
        <v>281850</v>
      </c>
      <c r="DF50" s="95">
        <v>284660</v>
      </c>
      <c r="DG50" s="95">
        <v>284320</v>
      </c>
      <c r="DH50" s="95">
        <v>286000</v>
      </c>
      <c r="DI50" s="95">
        <v>293100</v>
      </c>
      <c r="DJ50" s="95">
        <v>301030</v>
      </c>
      <c r="DK50" s="95">
        <v>307200</v>
      </c>
      <c r="DL50" s="95">
        <v>314350</v>
      </c>
      <c r="DM50" s="95">
        <v>317460</v>
      </c>
      <c r="DN50" s="95">
        <v>315730</v>
      </c>
      <c r="DO50" s="95">
        <v>311930</v>
      </c>
      <c r="DP50" s="95">
        <v>308810</v>
      </c>
      <c r="DQ50" s="95">
        <v>305740</v>
      </c>
      <c r="DR50" s="95">
        <v>305020</v>
      </c>
      <c r="DS50" s="95">
        <v>305980</v>
      </c>
      <c r="DT50" s="95">
        <v>306510</v>
      </c>
      <c r="DU50" s="232"/>
    </row>
    <row r="51" spans="3:125" ht="15" customHeight="1">
      <c r="C51" s="317" t="s">
        <v>374</v>
      </c>
      <c r="D51" s="307">
        <v>4300427.5</v>
      </c>
      <c r="E51" s="307"/>
      <c r="F51" s="307">
        <v>4316252.5</v>
      </c>
      <c r="G51" s="314">
        <v>4381365</v>
      </c>
      <c r="H51" s="307">
        <v>4378230</v>
      </c>
      <c r="I51" s="313">
        <v>4394785</v>
      </c>
      <c r="J51" s="307">
        <v>4399155</v>
      </c>
      <c r="K51" s="307">
        <v>4386025</v>
      </c>
      <c r="L51" s="307">
        <v>4385837.5</v>
      </c>
      <c r="M51" s="307">
        <v>4386130</v>
      </c>
      <c r="N51" s="307"/>
      <c r="O51" s="244"/>
      <c r="Q51" s="271" t="s">
        <v>374</v>
      </c>
      <c r="R51" s="307">
        <f>I51</f>
        <v>4394785</v>
      </c>
      <c r="S51" s="307">
        <f>J51</f>
        <v>4399155</v>
      </c>
      <c r="T51" s="307">
        <f t="shared" si="17"/>
        <v>4370</v>
      </c>
      <c r="U51" s="9"/>
      <c r="AU51" s="248" t="s">
        <v>523</v>
      </c>
      <c r="AV51" s="95">
        <v>14766</v>
      </c>
      <c r="AW51" s="89">
        <f t="shared" si="12"/>
        <v>3.6885455568629544E-2</v>
      </c>
      <c r="AX51" s="95">
        <v>14694</v>
      </c>
      <c r="BF51" s="282" t="s">
        <v>524</v>
      </c>
      <c r="BG51" s="282"/>
      <c r="BH51" s="282"/>
      <c r="BI51" s="282"/>
      <c r="BJ51" s="282"/>
      <c r="BK51" s="282"/>
      <c r="BL51" s="282"/>
      <c r="BM51" s="282"/>
      <c r="BN51" s="282"/>
      <c r="BO51" s="282"/>
      <c r="BP51" s="282"/>
      <c r="BQ51" s="282"/>
      <c r="BR51" s="282"/>
      <c r="BS51" s="282"/>
      <c r="BT51" s="282"/>
      <c r="BU51" s="282"/>
      <c r="BV51" s="282"/>
      <c r="BW51" s="282"/>
      <c r="BX51" s="282"/>
      <c r="BY51" s="282"/>
      <c r="BZ51" s="282"/>
      <c r="CA51" s="282"/>
      <c r="CC51" s="304" t="s">
        <v>525</v>
      </c>
      <c r="CD51" s="305">
        <v>1326.6662069009456</v>
      </c>
      <c r="CE51" s="305">
        <v>1104.9538113389219</v>
      </c>
      <c r="CF51" s="305">
        <v>0</v>
      </c>
      <c r="CG51" s="305">
        <v>0</v>
      </c>
      <c r="CH51" s="305">
        <v>405.16547815695355</v>
      </c>
      <c r="CI51" s="305">
        <v>384.34883695355967</v>
      </c>
      <c r="CJ51" s="305">
        <v>100.78319000967956</v>
      </c>
      <c r="CK51" s="305">
        <v>100.85087898924037</v>
      </c>
      <c r="CL51" s="305">
        <v>278.37603041910967</v>
      </c>
      <c r="CM51" s="305">
        <v>280.81452696064423</v>
      </c>
      <c r="CN51" s="305">
        <f t="shared" si="16"/>
        <v>2110.9909054866885</v>
      </c>
      <c r="CO51" s="305">
        <f t="shared" si="16"/>
        <v>1870.9680542423662</v>
      </c>
      <c r="CR51" s="248" t="s">
        <v>361</v>
      </c>
      <c r="CS51" s="95">
        <v>259870</v>
      </c>
      <c r="CT51" s="95">
        <v>262170</v>
      </c>
      <c r="CU51" s="95">
        <v>268590</v>
      </c>
      <c r="CV51" s="95">
        <v>275650</v>
      </c>
      <c r="CW51" s="95">
        <v>285030</v>
      </c>
      <c r="CX51" s="95">
        <v>295840</v>
      </c>
      <c r="CY51" s="95">
        <v>303970</v>
      </c>
      <c r="CZ51" s="95">
        <v>306500</v>
      </c>
      <c r="DA51" s="95">
        <v>305560</v>
      </c>
      <c r="DB51" s="95">
        <v>302020</v>
      </c>
      <c r="DC51" s="95">
        <v>295470</v>
      </c>
      <c r="DD51" s="95">
        <v>294400</v>
      </c>
      <c r="DE51" s="95">
        <v>294860</v>
      </c>
      <c r="DF51" s="95">
        <v>293380</v>
      </c>
      <c r="DG51" s="95">
        <v>292400</v>
      </c>
      <c r="DH51" s="95">
        <v>291880</v>
      </c>
      <c r="DI51" s="95">
        <v>291780</v>
      </c>
      <c r="DJ51" s="95">
        <v>290950</v>
      </c>
      <c r="DK51" s="95">
        <v>292080</v>
      </c>
      <c r="DL51" s="95">
        <v>290790</v>
      </c>
      <c r="DM51" s="95">
        <v>290560</v>
      </c>
      <c r="DN51" s="95">
        <v>294100</v>
      </c>
      <c r="DO51" s="95">
        <v>300070</v>
      </c>
      <c r="DP51" s="95">
        <v>306460</v>
      </c>
      <c r="DQ51" s="95">
        <v>315130</v>
      </c>
      <c r="DR51" s="95">
        <v>322270</v>
      </c>
      <c r="DS51" s="95">
        <v>326350</v>
      </c>
      <c r="DT51" s="95">
        <v>327240</v>
      </c>
      <c r="DU51" s="232"/>
    </row>
    <row r="52" spans="3:125" ht="15" customHeight="1">
      <c r="C52" s="318" t="s">
        <v>378</v>
      </c>
      <c r="D52" s="307"/>
      <c r="E52" s="307"/>
      <c r="F52" s="307"/>
      <c r="G52" s="307"/>
      <c r="H52" s="307">
        <v>4419847.5</v>
      </c>
      <c r="I52" s="307">
        <v>4438115</v>
      </c>
      <c r="J52" s="313">
        <v>4447620</v>
      </c>
      <c r="K52" s="307">
        <v>4424445</v>
      </c>
      <c r="L52" s="307">
        <v>4418652.5</v>
      </c>
      <c r="M52" s="307">
        <v>4418717.5</v>
      </c>
      <c r="N52" s="307"/>
      <c r="O52" s="244"/>
      <c r="Q52" s="273" t="s">
        <v>378</v>
      </c>
      <c r="R52" s="307">
        <f>J52</f>
        <v>4447620</v>
      </c>
      <c r="S52" s="307">
        <f>K52</f>
        <v>4424445</v>
      </c>
      <c r="T52" s="307">
        <f t="shared" si="17"/>
        <v>-23175</v>
      </c>
      <c r="U52" s="9"/>
      <c r="AU52" s="248" t="s">
        <v>526</v>
      </c>
      <c r="AV52" s="95">
        <v>14364</v>
      </c>
      <c r="AW52" s="89">
        <f t="shared" si="12"/>
        <v>1.7350479689732579E-2</v>
      </c>
      <c r="AX52" s="95">
        <v>14286</v>
      </c>
      <c r="BF52" s="282" t="s">
        <v>527</v>
      </c>
      <c r="BG52" s="282"/>
      <c r="BH52" s="282"/>
      <c r="BI52" s="282"/>
      <c r="BJ52" s="282"/>
      <c r="BK52" s="282"/>
      <c r="BL52" s="282"/>
      <c r="BM52" s="282"/>
      <c r="BN52" s="282"/>
      <c r="BO52" s="282"/>
      <c r="BP52" s="282"/>
      <c r="BQ52" s="282"/>
      <c r="BR52" s="282"/>
      <c r="BS52" s="282"/>
      <c r="BT52" s="282"/>
      <c r="BU52" s="282"/>
      <c r="BV52" s="282"/>
      <c r="BW52" s="282"/>
      <c r="BX52" s="282"/>
      <c r="BY52" s="282"/>
      <c r="BZ52" s="282"/>
      <c r="CA52" s="282"/>
      <c r="CC52" s="304" t="s">
        <v>528</v>
      </c>
      <c r="CD52" s="305">
        <v>1480.422468340485</v>
      </c>
      <c r="CE52" s="305">
        <v>1361.5346952075317</v>
      </c>
      <c r="CF52" s="305">
        <v>0</v>
      </c>
      <c r="CG52" s="305">
        <v>0</v>
      </c>
      <c r="CH52" s="305">
        <v>380.29777129037939</v>
      </c>
      <c r="CI52" s="305">
        <v>369.24523700645062</v>
      </c>
      <c r="CJ52" s="305">
        <v>99.657920096842915</v>
      </c>
      <c r="CK52" s="305">
        <v>99.300204733293853</v>
      </c>
      <c r="CL52" s="305">
        <v>345.24097296922588</v>
      </c>
      <c r="CM52" s="305">
        <v>278.76345510327872</v>
      </c>
      <c r="CN52" s="305">
        <f t="shared" si="16"/>
        <v>2305.6191326969333</v>
      </c>
      <c r="CO52" s="305">
        <f t="shared" si="16"/>
        <v>2108.8435920505549</v>
      </c>
      <c r="CR52" s="248" t="s">
        <v>365</v>
      </c>
      <c r="CS52" s="95">
        <v>260130</v>
      </c>
      <c r="CT52" s="95">
        <v>258840</v>
      </c>
      <c r="CU52" s="95">
        <v>260430</v>
      </c>
      <c r="CV52" s="95">
        <v>262610</v>
      </c>
      <c r="CW52" s="95">
        <v>265500</v>
      </c>
      <c r="CX52" s="95">
        <v>269000</v>
      </c>
      <c r="CY52" s="95">
        <v>273430</v>
      </c>
      <c r="CZ52" s="95">
        <v>279890</v>
      </c>
      <c r="DA52" s="95">
        <v>285960</v>
      </c>
      <c r="DB52" s="95">
        <v>293310</v>
      </c>
      <c r="DC52" s="95">
        <v>300740</v>
      </c>
      <c r="DD52" s="95">
        <v>308030</v>
      </c>
      <c r="DE52" s="95">
        <v>313290</v>
      </c>
      <c r="DF52" s="95">
        <v>315050</v>
      </c>
      <c r="DG52" s="95">
        <v>313520</v>
      </c>
      <c r="DH52" s="95">
        <v>310430</v>
      </c>
      <c r="DI52" s="95">
        <v>306380</v>
      </c>
      <c r="DJ52" s="95">
        <v>303540</v>
      </c>
      <c r="DK52" s="95">
        <v>301870</v>
      </c>
      <c r="DL52" s="95">
        <v>303000</v>
      </c>
      <c r="DM52" s="95">
        <v>302680</v>
      </c>
      <c r="DN52" s="95">
        <v>300000</v>
      </c>
      <c r="DO52" s="95">
        <v>296770</v>
      </c>
      <c r="DP52" s="95">
        <v>295830</v>
      </c>
      <c r="DQ52" s="95">
        <v>293470</v>
      </c>
      <c r="DR52" s="95">
        <v>294330</v>
      </c>
      <c r="DS52" s="95">
        <v>301360</v>
      </c>
      <c r="DT52" s="95">
        <v>310950</v>
      </c>
      <c r="DU52" s="232"/>
    </row>
    <row r="53" spans="3:125" ht="15" customHeight="1">
      <c r="C53" s="318" t="s">
        <v>382</v>
      </c>
      <c r="D53" s="307"/>
      <c r="E53" s="307"/>
      <c r="F53" s="307"/>
      <c r="G53" s="307"/>
      <c r="H53" s="307">
        <v>4460737.5</v>
      </c>
      <c r="I53" s="307">
        <v>4477172.5</v>
      </c>
      <c r="J53" s="307">
        <v>4490900</v>
      </c>
      <c r="K53" s="313">
        <v>4465832.5</v>
      </c>
      <c r="L53" s="307">
        <v>4448095</v>
      </c>
      <c r="M53" s="307">
        <v>4451492.5</v>
      </c>
      <c r="N53" s="307"/>
      <c r="O53" s="244"/>
      <c r="Q53" s="273" t="s">
        <v>382</v>
      </c>
      <c r="R53" s="307">
        <f>K53</f>
        <v>4465832.5</v>
      </c>
      <c r="S53" s="307">
        <f>L53</f>
        <v>4448095</v>
      </c>
      <c r="T53" s="307">
        <f t="shared" si="17"/>
        <v>-17737.5</v>
      </c>
      <c r="U53" s="9"/>
      <c r="AU53" s="248" t="s">
        <v>529</v>
      </c>
      <c r="AV53" s="95">
        <v>14283</v>
      </c>
      <c r="AW53" s="89">
        <f t="shared" si="12"/>
        <v>-2.3884632717440235E-2</v>
      </c>
      <c r="AX53" s="95">
        <v>14217</v>
      </c>
      <c r="BF53" s="282" t="s">
        <v>530</v>
      </c>
      <c r="BG53" s="282"/>
      <c r="BH53" s="282"/>
      <c r="BI53" s="282"/>
      <c r="BJ53" s="282"/>
      <c r="BK53" s="282"/>
      <c r="BL53" s="282"/>
      <c r="BM53" s="282"/>
      <c r="BN53" s="282"/>
      <c r="BO53" s="282"/>
      <c r="BP53" s="282"/>
      <c r="BQ53" s="282"/>
      <c r="BR53" s="282"/>
      <c r="BS53" s="282"/>
      <c r="BT53" s="282"/>
      <c r="BU53" s="282"/>
      <c r="BV53" s="282"/>
      <c r="BW53" s="282"/>
      <c r="BX53" s="282"/>
      <c r="BY53" s="282"/>
      <c r="BZ53" s="282"/>
      <c r="CA53" s="282"/>
      <c r="CC53" s="304" t="s">
        <v>531</v>
      </c>
      <c r="CD53" s="305">
        <v>1740.744994708821</v>
      </c>
      <c r="CE53" s="305">
        <v>1757.8054035805046</v>
      </c>
      <c r="CF53" s="305">
        <v>41.744445352225632</v>
      </c>
      <c r="CG53" s="305">
        <v>27.222146884348522</v>
      </c>
      <c r="CH53" s="305">
        <v>297.82578231535535</v>
      </c>
      <c r="CI53" s="305">
        <v>264.50612269579051</v>
      </c>
      <c r="CJ53" s="305">
        <v>98.738249149753486</v>
      </c>
      <c r="CK53" s="305">
        <v>98.162705141066411</v>
      </c>
      <c r="CL53" s="305">
        <v>351.50813697784281</v>
      </c>
      <c r="CM53" s="305">
        <v>283.4353410006114</v>
      </c>
      <c r="CN53" s="305">
        <f t="shared" si="16"/>
        <v>2530.5616085039978</v>
      </c>
      <c r="CO53" s="305">
        <f t="shared" si="16"/>
        <v>2431.1317193023219</v>
      </c>
      <c r="CR53" s="248" t="s">
        <v>369</v>
      </c>
      <c r="CS53" s="95">
        <v>288020</v>
      </c>
      <c r="CT53" s="95">
        <v>280280</v>
      </c>
      <c r="CU53" s="95">
        <v>273000</v>
      </c>
      <c r="CV53" s="95">
        <v>268890</v>
      </c>
      <c r="CW53" s="95">
        <v>268300</v>
      </c>
      <c r="CX53" s="95">
        <v>270830</v>
      </c>
      <c r="CY53" s="95">
        <v>270860</v>
      </c>
      <c r="CZ53" s="95">
        <v>271390</v>
      </c>
      <c r="DA53" s="95">
        <v>271430</v>
      </c>
      <c r="DB53" s="95">
        <v>273640</v>
      </c>
      <c r="DC53" s="95">
        <v>277620</v>
      </c>
      <c r="DD53" s="95">
        <v>286760</v>
      </c>
      <c r="DE53" s="95">
        <v>295280</v>
      </c>
      <c r="DF53" s="95">
        <v>300450</v>
      </c>
      <c r="DG53" s="95">
        <v>306090</v>
      </c>
      <c r="DH53" s="95">
        <v>313560</v>
      </c>
      <c r="DI53" s="95">
        <v>316280</v>
      </c>
      <c r="DJ53" s="95">
        <v>317030</v>
      </c>
      <c r="DK53" s="95">
        <v>317020</v>
      </c>
      <c r="DL53" s="95">
        <v>317130</v>
      </c>
      <c r="DM53" s="95">
        <v>314550</v>
      </c>
      <c r="DN53" s="95">
        <v>312840</v>
      </c>
      <c r="DO53" s="95">
        <v>312480</v>
      </c>
      <c r="DP53" s="95">
        <v>313580</v>
      </c>
      <c r="DQ53" s="95">
        <v>316800</v>
      </c>
      <c r="DR53" s="95">
        <v>318380</v>
      </c>
      <c r="DS53" s="95">
        <v>316510</v>
      </c>
      <c r="DT53" s="95">
        <v>314160</v>
      </c>
      <c r="DU53" s="232"/>
    </row>
    <row r="54" spans="3:125" ht="15" customHeight="1">
      <c r="C54" s="318" t="s">
        <v>386</v>
      </c>
      <c r="D54" s="307"/>
      <c r="E54" s="307"/>
      <c r="F54" s="307"/>
      <c r="G54" s="307"/>
      <c r="H54" s="307">
        <v>4501282.5</v>
      </c>
      <c r="I54" s="307">
        <v>4515760</v>
      </c>
      <c r="J54" s="307">
        <v>4531542.5</v>
      </c>
      <c r="K54" s="307">
        <v>4509212.5</v>
      </c>
      <c r="L54" s="313">
        <v>4482085</v>
      </c>
      <c r="M54" s="307">
        <v>4490850</v>
      </c>
      <c r="N54" s="319">
        <v>4475165</v>
      </c>
      <c r="O54" s="320">
        <v>4475530</v>
      </c>
      <c r="Q54" s="273" t="s">
        <v>386</v>
      </c>
      <c r="R54" s="307">
        <f>L54</f>
        <v>4482085</v>
      </c>
      <c r="S54" s="307">
        <f>M54</f>
        <v>4490850</v>
      </c>
      <c r="T54" s="307">
        <f t="shared" si="17"/>
        <v>8765</v>
      </c>
      <c r="U54" s="9"/>
      <c r="AU54" s="278" t="s">
        <v>401</v>
      </c>
      <c r="AV54" s="278"/>
      <c r="BF54" s="282" t="s">
        <v>532</v>
      </c>
      <c r="BG54" s="282"/>
      <c r="BH54" s="282"/>
      <c r="BI54" s="282"/>
      <c r="BJ54" s="282"/>
      <c r="BK54" s="282"/>
      <c r="BL54" s="282"/>
      <c r="BM54" s="282"/>
      <c r="BN54" s="282"/>
      <c r="BO54" s="282"/>
      <c r="BP54" s="282"/>
      <c r="BQ54" s="282"/>
      <c r="BR54" s="282"/>
      <c r="BS54" s="282"/>
      <c r="BT54" s="282"/>
      <c r="BU54" s="282"/>
      <c r="BV54" s="282"/>
      <c r="BW54" s="282"/>
      <c r="BX54" s="282"/>
      <c r="BY54" s="282"/>
      <c r="BZ54" s="282"/>
      <c r="CA54" s="282"/>
      <c r="CC54" s="304" t="s">
        <v>533</v>
      </c>
      <c r="CD54" s="305">
        <v>2138.0218062739341</v>
      </c>
      <c r="CE54" s="305">
        <v>2301.9408736441951</v>
      </c>
      <c r="CF54" s="305">
        <v>76.423833779065589</v>
      </c>
      <c r="CG54" s="305">
        <v>58.79716741082953</v>
      </c>
      <c r="CH54" s="305">
        <v>275.10981338020724</v>
      </c>
      <c r="CI54" s="305">
        <v>211.98761893159863</v>
      </c>
      <c r="CJ54" s="305">
        <v>97.928970973984761</v>
      </c>
      <c r="CK54" s="305">
        <v>97.292222890405426</v>
      </c>
      <c r="CL54" s="305">
        <v>447.81735552480609</v>
      </c>
      <c r="CM54" s="305">
        <v>355.24564569570879</v>
      </c>
      <c r="CN54" s="305">
        <f t="shared" si="16"/>
        <v>3035.3017799319978</v>
      </c>
      <c r="CO54" s="305">
        <f t="shared" si="16"/>
        <v>3025.2635285727374</v>
      </c>
      <c r="CR54" s="248" t="s">
        <v>373</v>
      </c>
      <c r="CS54" s="95">
        <v>288130</v>
      </c>
      <c r="CT54" s="95">
        <v>291850</v>
      </c>
      <c r="CU54" s="95">
        <v>292730</v>
      </c>
      <c r="CV54" s="95">
        <v>291200</v>
      </c>
      <c r="CW54" s="95">
        <v>286880</v>
      </c>
      <c r="CX54" s="95">
        <v>280320</v>
      </c>
      <c r="CY54" s="95">
        <v>273410</v>
      </c>
      <c r="CZ54" s="95">
        <v>265050</v>
      </c>
      <c r="DA54" s="95">
        <v>258240</v>
      </c>
      <c r="DB54" s="95">
        <v>254330</v>
      </c>
      <c r="DC54" s="95">
        <v>255630</v>
      </c>
      <c r="DD54" s="95">
        <v>265040</v>
      </c>
      <c r="DE54" s="95">
        <v>278360</v>
      </c>
      <c r="DF54" s="95">
        <v>285110</v>
      </c>
      <c r="DG54" s="95">
        <v>288380</v>
      </c>
      <c r="DH54" s="95">
        <v>291180</v>
      </c>
      <c r="DI54" s="95">
        <v>289190</v>
      </c>
      <c r="DJ54" s="95">
        <v>288740</v>
      </c>
      <c r="DK54" s="95">
        <v>292350</v>
      </c>
      <c r="DL54" s="95">
        <v>299760</v>
      </c>
      <c r="DM54" s="95">
        <v>307230</v>
      </c>
      <c r="DN54" s="95">
        <v>310660</v>
      </c>
      <c r="DO54" s="95">
        <v>314920</v>
      </c>
      <c r="DP54" s="95">
        <v>325650</v>
      </c>
      <c r="DQ54" s="95">
        <v>338660</v>
      </c>
      <c r="DR54" s="95">
        <v>348800</v>
      </c>
      <c r="DS54" s="95">
        <v>355830</v>
      </c>
      <c r="DT54" s="95">
        <v>358260</v>
      </c>
      <c r="DU54" s="232"/>
    </row>
    <row r="55" spans="3:125" ht="15" customHeight="1">
      <c r="C55" s="317" t="s">
        <v>390</v>
      </c>
      <c r="D55" s="307"/>
      <c r="E55" s="307"/>
      <c r="F55" s="307"/>
      <c r="G55" s="307"/>
      <c r="H55" s="307"/>
      <c r="I55" s="307"/>
      <c r="J55" s="307"/>
      <c r="K55" s="307">
        <v>4551530</v>
      </c>
      <c r="L55" s="307">
        <v>4522017.5</v>
      </c>
      <c r="M55" s="313">
        <v>4532340</v>
      </c>
      <c r="N55" s="319">
        <v>4544092.5</v>
      </c>
      <c r="O55" s="320">
        <v>4552930</v>
      </c>
      <c r="Q55" s="271" t="s">
        <v>390</v>
      </c>
      <c r="R55" s="307">
        <f>M55</f>
        <v>4532340</v>
      </c>
      <c r="S55" s="307">
        <f>N55</f>
        <v>4544092.5</v>
      </c>
      <c r="T55" s="307">
        <f t="shared" si="17"/>
        <v>11752.5</v>
      </c>
      <c r="U55" s="9"/>
      <c r="AU55" s="282" t="s">
        <v>407</v>
      </c>
      <c r="AV55" s="282"/>
      <c r="BF55" s="282" t="s">
        <v>534</v>
      </c>
      <c r="BG55" s="282"/>
      <c r="BH55" s="282"/>
      <c r="BI55" s="282"/>
      <c r="BJ55" s="282"/>
      <c r="BK55" s="282"/>
      <c r="BL55" s="282"/>
      <c r="BM55" s="282"/>
      <c r="BN55" s="282"/>
      <c r="BO55" s="282"/>
      <c r="BP55" s="282"/>
      <c r="BQ55" s="282"/>
      <c r="BR55" s="282"/>
      <c r="BS55" s="282"/>
      <c r="BT55" s="282"/>
      <c r="BU55" s="282"/>
      <c r="BV55" s="282"/>
      <c r="BW55" s="282"/>
      <c r="BX55" s="282"/>
      <c r="BY55" s="282"/>
      <c r="BZ55" s="282"/>
      <c r="CA55" s="282"/>
      <c r="CC55" s="304" t="s">
        <v>535</v>
      </c>
      <c r="CD55" s="305">
        <v>2685.7179597519821</v>
      </c>
      <c r="CE55" s="305">
        <v>3005.6123078759524</v>
      </c>
      <c r="CF55" s="305">
        <v>151.7277460210548</v>
      </c>
      <c r="CG55" s="305">
        <v>115.50659923030238</v>
      </c>
      <c r="CH55" s="305">
        <v>260.62787577243256</v>
      </c>
      <c r="CI55" s="305">
        <v>151.84874509208532</v>
      </c>
      <c r="CJ55" s="305">
        <v>97.420877687840274</v>
      </c>
      <c r="CK55" s="305">
        <v>96.504376379198746</v>
      </c>
      <c r="CL55" s="305">
        <v>627.40009148080969</v>
      </c>
      <c r="CM55" s="305">
        <v>533.25589322773214</v>
      </c>
      <c r="CN55" s="305">
        <f t="shared" si="16"/>
        <v>3822.8945507141198</v>
      </c>
      <c r="CO55" s="305">
        <f t="shared" si="16"/>
        <v>3902.7279218052709</v>
      </c>
      <c r="CR55" s="248" t="s">
        <v>377</v>
      </c>
      <c r="CS55" s="95">
        <v>283780</v>
      </c>
      <c r="CT55" s="95">
        <v>278780</v>
      </c>
      <c r="CU55" s="95">
        <v>275990</v>
      </c>
      <c r="CV55" s="95">
        <v>276210</v>
      </c>
      <c r="CW55" s="95">
        <v>279150</v>
      </c>
      <c r="CX55" s="95">
        <v>284860</v>
      </c>
      <c r="CY55" s="95">
        <v>287390</v>
      </c>
      <c r="CZ55" s="95">
        <v>284080</v>
      </c>
      <c r="DA55" s="95">
        <v>276860</v>
      </c>
      <c r="DB55" s="95">
        <v>269020</v>
      </c>
      <c r="DC55" s="95">
        <v>257240</v>
      </c>
      <c r="DD55" s="95">
        <v>253100</v>
      </c>
      <c r="DE55" s="95">
        <v>252760</v>
      </c>
      <c r="DF55" s="95">
        <v>253820</v>
      </c>
      <c r="DG55" s="95">
        <v>255870</v>
      </c>
      <c r="DH55" s="95">
        <v>260370</v>
      </c>
      <c r="DI55" s="95">
        <v>264450</v>
      </c>
      <c r="DJ55" s="95">
        <v>268570</v>
      </c>
      <c r="DK55" s="95">
        <v>272210</v>
      </c>
      <c r="DL55" s="95">
        <v>275040</v>
      </c>
      <c r="DM55" s="95">
        <v>274880</v>
      </c>
      <c r="DN55" s="95">
        <v>274520</v>
      </c>
      <c r="DO55" s="95">
        <v>277490</v>
      </c>
      <c r="DP55" s="95">
        <v>291250</v>
      </c>
      <c r="DQ55" s="95">
        <v>312310</v>
      </c>
      <c r="DR55" s="95">
        <v>338240</v>
      </c>
      <c r="DS55" s="95">
        <v>361860</v>
      </c>
      <c r="DT55" s="95">
        <v>380050</v>
      </c>
      <c r="DU55" s="232"/>
    </row>
    <row r="56" spans="3:125" ht="15" customHeight="1">
      <c r="C56" s="317" t="s">
        <v>394</v>
      </c>
      <c r="D56" s="307"/>
      <c r="E56" s="307"/>
      <c r="F56" s="307"/>
      <c r="G56" s="307"/>
      <c r="H56" s="307"/>
      <c r="I56" s="307"/>
      <c r="J56" s="307"/>
      <c r="K56" s="307">
        <v>4591950</v>
      </c>
      <c r="L56" s="307">
        <v>4564502.5</v>
      </c>
      <c r="M56" s="307">
        <v>4574365</v>
      </c>
      <c r="N56" s="321">
        <v>4608397.5</v>
      </c>
      <c r="O56" s="320">
        <v>4638750</v>
      </c>
      <c r="Q56" s="271" t="s">
        <v>394</v>
      </c>
      <c r="R56" s="307">
        <f>N56</f>
        <v>4608397.5</v>
      </c>
      <c r="S56" s="307">
        <f>O56</f>
        <v>4638750</v>
      </c>
      <c r="T56" s="307">
        <f t="shared" si="17"/>
        <v>30352.5</v>
      </c>
      <c r="U56" s="9"/>
      <c r="AU56" s="282" t="s">
        <v>413</v>
      </c>
      <c r="AV56" s="282"/>
      <c r="BF56" s="282" t="s">
        <v>536</v>
      </c>
      <c r="BG56" s="282"/>
      <c r="BH56" s="282"/>
      <c r="BI56" s="282"/>
      <c r="BJ56" s="282"/>
      <c r="BK56" s="282"/>
      <c r="BL56" s="282"/>
      <c r="BM56" s="282"/>
      <c r="BN56" s="282"/>
      <c r="BO56" s="282"/>
      <c r="BP56" s="282"/>
      <c r="BQ56" s="282"/>
      <c r="BR56" s="282"/>
      <c r="BS56" s="282"/>
      <c r="BT56" s="282"/>
      <c r="BU56" s="282"/>
      <c r="BV56" s="282"/>
      <c r="BW56" s="282"/>
      <c r="BX56" s="282"/>
      <c r="BY56" s="282"/>
      <c r="BZ56" s="282"/>
      <c r="CA56" s="282"/>
      <c r="CC56" s="304" t="s">
        <v>537</v>
      </c>
      <c r="CD56" s="305">
        <v>3588.1392106148819</v>
      </c>
      <c r="CE56" s="305">
        <v>4215.4294310177056</v>
      </c>
      <c r="CF56" s="305">
        <v>378.42994221470207</v>
      </c>
      <c r="CG56" s="305">
        <v>325.84655432988615</v>
      </c>
      <c r="CH56" s="305">
        <v>213.07109949010098</v>
      </c>
      <c r="CI56" s="305">
        <v>138.30663298571471</v>
      </c>
      <c r="CJ56" s="305">
        <v>97.886306882612928</v>
      </c>
      <c r="CK56" s="305">
        <v>96.995775706183792</v>
      </c>
      <c r="CL56" s="305">
        <v>0</v>
      </c>
      <c r="CM56" s="305">
        <v>0</v>
      </c>
      <c r="CN56" s="305">
        <f t="shared" si="16"/>
        <v>4277.5265592022979</v>
      </c>
      <c r="CO56" s="305">
        <f t="shared" si="16"/>
        <v>4776.5783940394904</v>
      </c>
      <c r="CR56" s="248" t="s">
        <v>381</v>
      </c>
      <c r="CS56" s="95">
        <v>283990</v>
      </c>
      <c r="CT56" s="95">
        <v>290760</v>
      </c>
      <c r="CU56" s="95">
        <v>296750</v>
      </c>
      <c r="CV56" s="95">
        <v>300090</v>
      </c>
      <c r="CW56" s="95">
        <v>301610</v>
      </c>
      <c r="CX56" s="95">
        <v>302030</v>
      </c>
      <c r="CY56" s="95">
        <v>300280</v>
      </c>
      <c r="CZ56" s="95">
        <v>296910</v>
      </c>
      <c r="DA56" s="95">
        <v>293390</v>
      </c>
      <c r="DB56" s="95">
        <v>291750</v>
      </c>
      <c r="DC56" s="95">
        <v>291640</v>
      </c>
      <c r="DD56" s="95">
        <v>295080</v>
      </c>
      <c r="DE56" s="95">
        <v>298220</v>
      </c>
      <c r="DF56" s="95">
        <v>297370</v>
      </c>
      <c r="DG56" s="95">
        <v>293500</v>
      </c>
      <c r="DH56" s="95">
        <v>286010</v>
      </c>
      <c r="DI56" s="95">
        <v>278520</v>
      </c>
      <c r="DJ56" s="95">
        <v>271900</v>
      </c>
      <c r="DK56" s="95">
        <v>268920</v>
      </c>
      <c r="DL56" s="95">
        <v>267750</v>
      </c>
      <c r="DM56" s="95">
        <v>268120</v>
      </c>
      <c r="DN56" s="95">
        <v>268320</v>
      </c>
      <c r="DO56" s="95">
        <v>271090</v>
      </c>
      <c r="DP56" s="95">
        <v>277630</v>
      </c>
      <c r="DQ56" s="95">
        <v>286990</v>
      </c>
      <c r="DR56" s="95">
        <v>298970</v>
      </c>
      <c r="DS56" s="95">
        <v>314080</v>
      </c>
      <c r="DT56" s="95">
        <v>330720</v>
      </c>
      <c r="DU56" s="232"/>
    </row>
    <row r="57" spans="3:125" ht="15" customHeight="1">
      <c r="C57" s="317" t="s">
        <v>398</v>
      </c>
      <c r="D57" s="307"/>
      <c r="E57" s="307"/>
      <c r="F57" s="307"/>
      <c r="G57" s="307"/>
      <c r="H57" s="307"/>
      <c r="I57" s="307"/>
      <c r="J57" s="307"/>
      <c r="K57" s="307">
        <v>4631300</v>
      </c>
      <c r="L57" s="307">
        <v>4606062.5</v>
      </c>
      <c r="M57" s="307">
        <v>4616420</v>
      </c>
      <c r="N57" s="319">
        <v>4660727.5</v>
      </c>
      <c r="O57" s="321">
        <v>4715555</v>
      </c>
      <c r="P57" s="89">
        <f>(68000+29000)/O56</f>
        <v>2.0910805712745891E-2</v>
      </c>
      <c r="Q57" s="271"/>
      <c r="R57" s="307"/>
      <c r="S57" s="307"/>
      <c r="T57" s="307"/>
      <c r="U57" s="9"/>
      <c r="AU57" s="282"/>
      <c r="AV57" s="282"/>
      <c r="BF57" s="282" t="s">
        <v>538</v>
      </c>
      <c r="BG57" s="282"/>
      <c r="BH57" s="282"/>
      <c r="BI57" s="282"/>
      <c r="BJ57" s="282"/>
      <c r="BK57" s="282"/>
      <c r="BL57" s="282"/>
      <c r="BM57" s="282"/>
      <c r="BN57" s="282"/>
      <c r="BO57" s="282"/>
      <c r="BP57" s="282"/>
      <c r="BQ57" s="282"/>
      <c r="BR57" s="282"/>
      <c r="BS57" s="282"/>
      <c r="BT57" s="282"/>
      <c r="BU57" s="282"/>
      <c r="BV57" s="282"/>
      <c r="BW57" s="282"/>
      <c r="BX57" s="282"/>
      <c r="BY57" s="282"/>
      <c r="BZ57" s="282"/>
      <c r="CA57" s="282"/>
      <c r="CC57" s="304" t="s">
        <v>539</v>
      </c>
      <c r="CD57" s="305">
        <v>4379.8421382209945</v>
      </c>
      <c r="CE57" s="305">
        <v>5220.3495747641628</v>
      </c>
      <c r="CF57" s="305">
        <v>838.43005298878563</v>
      </c>
      <c r="CG57" s="305">
        <v>739.449813593773</v>
      </c>
      <c r="CH57" s="305">
        <v>195.1507356979954</v>
      </c>
      <c r="CI57" s="305">
        <v>150.12702807846</v>
      </c>
      <c r="CJ57" s="305">
        <v>98.820605244872354</v>
      </c>
      <c r="CK57" s="305">
        <v>97.45120208539339</v>
      </c>
      <c r="CL57" s="305">
        <v>0</v>
      </c>
      <c r="CM57" s="305">
        <v>0</v>
      </c>
      <c r="CN57" s="305">
        <f t="shared" si="16"/>
        <v>5512.2435321526482</v>
      </c>
      <c r="CO57" s="305">
        <f t="shared" si="16"/>
        <v>6207.3776185217894</v>
      </c>
      <c r="CR57" s="248" t="s">
        <v>385</v>
      </c>
      <c r="CS57" s="95">
        <v>255210</v>
      </c>
      <c r="CT57" s="95">
        <v>260800</v>
      </c>
      <c r="CU57" s="95">
        <v>267240</v>
      </c>
      <c r="CV57" s="95">
        <v>275830</v>
      </c>
      <c r="CW57" s="95">
        <v>285180</v>
      </c>
      <c r="CX57" s="95">
        <v>295830</v>
      </c>
      <c r="CY57" s="95">
        <v>305280</v>
      </c>
      <c r="CZ57" s="95">
        <v>312130</v>
      </c>
      <c r="DA57" s="95">
        <v>313730</v>
      </c>
      <c r="DB57" s="95">
        <v>311940</v>
      </c>
      <c r="DC57" s="95">
        <v>306680</v>
      </c>
      <c r="DD57" s="95">
        <v>305670</v>
      </c>
      <c r="DE57" s="95">
        <v>306030</v>
      </c>
      <c r="DF57" s="95">
        <v>306660</v>
      </c>
      <c r="DG57" s="95">
        <v>308240</v>
      </c>
      <c r="DH57" s="95">
        <v>312560</v>
      </c>
      <c r="DI57" s="95">
        <v>315310</v>
      </c>
      <c r="DJ57" s="95">
        <v>314180</v>
      </c>
      <c r="DK57" s="95">
        <v>310490</v>
      </c>
      <c r="DL57" s="95">
        <v>304950</v>
      </c>
      <c r="DM57" s="95">
        <v>294360</v>
      </c>
      <c r="DN57" s="95">
        <v>284140</v>
      </c>
      <c r="DO57" s="95">
        <v>276360</v>
      </c>
      <c r="DP57" s="95">
        <v>273020</v>
      </c>
      <c r="DQ57" s="95">
        <v>273780</v>
      </c>
      <c r="DR57" s="95">
        <v>279020</v>
      </c>
      <c r="DS57" s="95">
        <v>286610</v>
      </c>
      <c r="DT57" s="95">
        <v>297660</v>
      </c>
      <c r="DU57" s="232"/>
    </row>
    <row r="58" spans="3:125" ht="15" customHeight="1">
      <c r="C58" s="317" t="s">
        <v>404</v>
      </c>
      <c r="D58" s="307"/>
      <c r="E58" s="307"/>
      <c r="F58" s="307"/>
      <c r="G58" s="307"/>
      <c r="H58" s="307"/>
      <c r="I58" s="307"/>
      <c r="J58" s="307"/>
      <c r="K58" s="307"/>
      <c r="L58" s="307"/>
      <c r="M58" s="307"/>
      <c r="N58" s="319">
        <v>4704987.5</v>
      </c>
      <c r="O58" s="320">
        <v>4774765</v>
      </c>
      <c r="Q58" s="322"/>
      <c r="R58" s="323"/>
      <c r="S58" s="323"/>
      <c r="T58" s="307"/>
      <c r="U58" s="9"/>
      <c r="AU58" s="278" t="s">
        <v>424</v>
      </c>
      <c r="AV58" s="278"/>
      <c r="BF58" s="282" t="s">
        <v>540</v>
      </c>
      <c r="BG58" s="282"/>
      <c r="BH58" s="282"/>
      <c r="BI58" s="282"/>
      <c r="BJ58" s="282"/>
      <c r="BK58" s="282"/>
      <c r="BL58" s="282"/>
      <c r="BM58" s="282"/>
      <c r="BN58" s="282"/>
      <c r="BO58" s="282"/>
      <c r="BP58" s="282"/>
      <c r="BQ58" s="282"/>
      <c r="BR58" s="282"/>
      <c r="BS58" s="282"/>
      <c r="BT58" s="282"/>
      <c r="BU58" s="282"/>
      <c r="BV58" s="282"/>
      <c r="BW58" s="282"/>
      <c r="BX58" s="282"/>
      <c r="BY58" s="282"/>
      <c r="BZ58" s="282"/>
      <c r="CA58" s="282"/>
      <c r="CC58" s="304" t="s">
        <v>541</v>
      </c>
      <c r="CD58" s="305">
        <v>5103.6992710328987</v>
      </c>
      <c r="CE58" s="305">
        <v>6202.3154888374302</v>
      </c>
      <c r="CF58" s="305">
        <v>1793.517761294381</v>
      </c>
      <c r="CG58" s="305">
        <v>1537.1042078595178</v>
      </c>
      <c r="CH58" s="305">
        <v>212.23413202200564</v>
      </c>
      <c r="CI58" s="305">
        <v>168.3883512432069</v>
      </c>
      <c r="CJ58" s="305">
        <v>98.722273162133177</v>
      </c>
      <c r="CK58" s="305">
        <v>97.175176722887443</v>
      </c>
      <c r="CL58" s="305">
        <v>0</v>
      </c>
      <c r="CM58" s="305">
        <v>0</v>
      </c>
      <c r="CN58" s="305">
        <f t="shared" si="16"/>
        <v>7208.1734375114183</v>
      </c>
      <c r="CO58" s="305">
        <f t="shared" si="16"/>
        <v>8004.9832246630422</v>
      </c>
      <c r="CR58" s="248" t="s">
        <v>389</v>
      </c>
      <c r="CS58" s="95">
        <v>244820</v>
      </c>
      <c r="CT58" s="95">
        <v>245090</v>
      </c>
      <c r="CU58" s="95">
        <v>246500</v>
      </c>
      <c r="CV58" s="95">
        <v>250860</v>
      </c>
      <c r="CW58" s="95">
        <v>256220</v>
      </c>
      <c r="CX58" s="95">
        <v>264200</v>
      </c>
      <c r="CY58" s="95">
        <v>271570</v>
      </c>
      <c r="CZ58" s="95">
        <v>277910</v>
      </c>
      <c r="DA58" s="95">
        <v>284480</v>
      </c>
      <c r="DB58" s="95">
        <v>290660</v>
      </c>
      <c r="DC58" s="95">
        <v>296880</v>
      </c>
      <c r="DD58" s="95">
        <v>306960</v>
      </c>
      <c r="DE58" s="95">
        <v>317020</v>
      </c>
      <c r="DF58" s="95">
        <v>322520</v>
      </c>
      <c r="DG58" s="95">
        <v>323860</v>
      </c>
      <c r="DH58" s="95">
        <v>322490</v>
      </c>
      <c r="DI58" s="95">
        <v>318960</v>
      </c>
      <c r="DJ58" s="95">
        <v>315080</v>
      </c>
      <c r="DK58" s="95">
        <v>313730</v>
      </c>
      <c r="DL58" s="95">
        <v>314330</v>
      </c>
      <c r="DM58" s="95">
        <v>316630</v>
      </c>
      <c r="DN58" s="95">
        <v>317680</v>
      </c>
      <c r="DO58" s="95">
        <v>316570</v>
      </c>
      <c r="DP58" s="95">
        <v>313640</v>
      </c>
      <c r="DQ58" s="95">
        <v>309250</v>
      </c>
      <c r="DR58" s="95">
        <v>301510</v>
      </c>
      <c r="DS58" s="95">
        <v>295710</v>
      </c>
      <c r="DT58" s="95">
        <v>291120</v>
      </c>
      <c r="DU58" s="232"/>
    </row>
    <row r="59" spans="3:125" ht="15" customHeight="1">
      <c r="C59" s="317" t="s">
        <v>409</v>
      </c>
      <c r="D59" s="307"/>
      <c r="E59" s="307"/>
      <c r="F59" s="307"/>
      <c r="G59" s="307"/>
      <c r="H59" s="307"/>
      <c r="I59" s="307"/>
      <c r="J59" s="307"/>
      <c r="K59" s="307"/>
      <c r="L59" s="307"/>
      <c r="M59" s="244"/>
      <c r="N59" s="319">
        <v>4746595</v>
      </c>
      <c r="O59" s="320">
        <v>4822390</v>
      </c>
      <c r="Q59" s="322"/>
      <c r="R59" s="323"/>
      <c r="S59" s="323"/>
      <c r="T59" s="323"/>
      <c r="U59" s="9"/>
      <c r="AU59" s="282" t="s">
        <v>542</v>
      </c>
      <c r="AV59" s="282"/>
      <c r="BF59" s="282" t="s">
        <v>543</v>
      </c>
      <c r="BG59" s="282"/>
      <c r="BH59" s="282"/>
      <c r="BI59" s="282"/>
      <c r="BJ59" s="282"/>
      <c r="BK59" s="282"/>
      <c r="BL59" s="282"/>
      <c r="BM59" s="282"/>
      <c r="BN59" s="282"/>
      <c r="BO59" s="282"/>
      <c r="BP59" s="282"/>
      <c r="BQ59" s="282"/>
      <c r="BR59" s="282"/>
      <c r="BS59" s="282"/>
      <c r="BT59" s="282"/>
      <c r="BU59" s="282"/>
      <c r="BV59" s="282"/>
      <c r="BW59" s="282"/>
      <c r="BX59" s="282"/>
      <c r="BY59" s="282"/>
      <c r="BZ59" s="282"/>
      <c r="CA59" s="282"/>
      <c r="CC59" s="304" t="s">
        <v>544</v>
      </c>
      <c r="CD59" s="305">
        <v>5589.6012995945457</v>
      </c>
      <c r="CE59" s="305">
        <v>6779.6328287507331</v>
      </c>
      <c r="CF59" s="305">
        <v>3984.6705796130645</v>
      </c>
      <c r="CG59" s="305">
        <v>2801.3480076794349</v>
      </c>
      <c r="CH59" s="305">
        <v>253.79793229572351</v>
      </c>
      <c r="CI59" s="305">
        <v>223.0386178874769</v>
      </c>
      <c r="CJ59" s="305">
        <v>98.215713550273875</v>
      </c>
      <c r="CK59" s="305">
        <v>96.620264361238128</v>
      </c>
      <c r="CL59" s="305">
        <v>0</v>
      </c>
      <c r="CM59" s="305">
        <v>0</v>
      </c>
      <c r="CN59" s="305">
        <f t="shared" si="16"/>
        <v>9926.2855250536068</v>
      </c>
      <c r="CO59" s="305">
        <f t="shared" si="16"/>
        <v>9900.6397186788818</v>
      </c>
      <c r="CR59" s="248" t="s">
        <v>393</v>
      </c>
      <c r="CS59" s="95">
        <v>194170</v>
      </c>
      <c r="CT59" s="95">
        <v>204710</v>
      </c>
      <c r="CU59" s="95">
        <v>218850</v>
      </c>
      <c r="CV59" s="95">
        <v>230060</v>
      </c>
      <c r="CW59" s="95">
        <v>240540</v>
      </c>
      <c r="CX59" s="95">
        <v>249450</v>
      </c>
      <c r="CY59" s="95">
        <v>250950</v>
      </c>
      <c r="CZ59" s="95">
        <v>252240</v>
      </c>
      <c r="DA59" s="95">
        <v>254810</v>
      </c>
      <c r="DB59" s="95">
        <v>257350</v>
      </c>
      <c r="DC59" s="95">
        <v>261680</v>
      </c>
      <c r="DD59" s="95">
        <v>269330</v>
      </c>
      <c r="DE59" s="95">
        <v>278160</v>
      </c>
      <c r="DF59" s="95">
        <v>287710</v>
      </c>
      <c r="DG59" s="95">
        <v>296190</v>
      </c>
      <c r="DH59" s="95">
        <v>305160</v>
      </c>
      <c r="DI59" s="95">
        <v>313250</v>
      </c>
      <c r="DJ59" s="95">
        <v>320360</v>
      </c>
      <c r="DK59" s="95">
        <v>323660</v>
      </c>
      <c r="DL59" s="95">
        <v>323920</v>
      </c>
      <c r="DM59" s="95">
        <v>320570</v>
      </c>
      <c r="DN59" s="95">
        <v>315530</v>
      </c>
      <c r="DO59" s="95">
        <v>311990</v>
      </c>
      <c r="DP59" s="95">
        <v>311290</v>
      </c>
      <c r="DQ59" s="95">
        <v>313250</v>
      </c>
      <c r="DR59" s="95">
        <v>318340</v>
      </c>
      <c r="DS59" s="95">
        <v>322620</v>
      </c>
      <c r="DT59" s="95">
        <v>324420</v>
      </c>
      <c r="DU59" s="232"/>
    </row>
    <row r="60" spans="3:125" ht="15" customHeight="1">
      <c r="C60" s="317" t="s">
        <v>415</v>
      </c>
      <c r="D60" s="307"/>
      <c r="E60" s="307"/>
      <c r="F60" s="307"/>
      <c r="G60" s="307"/>
      <c r="H60" s="307"/>
      <c r="I60" s="307"/>
      <c r="J60" s="307"/>
      <c r="K60" s="307"/>
      <c r="L60" s="307"/>
      <c r="M60" s="244"/>
      <c r="N60" s="319">
        <v>4788465</v>
      </c>
      <c r="O60" s="320">
        <v>4866180</v>
      </c>
      <c r="Q60" s="9"/>
      <c r="R60" s="9"/>
      <c r="S60" s="9"/>
      <c r="T60" s="9"/>
      <c r="U60" s="9"/>
      <c r="AU60" s="282" t="s">
        <v>545</v>
      </c>
      <c r="AV60" s="282"/>
      <c r="BF60" s="282" t="s">
        <v>546</v>
      </c>
      <c r="BG60" s="282"/>
      <c r="BH60" s="282"/>
      <c r="BI60" s="282"/>
      <c r="BJ60" s="282"/>
      <c r="BK60" s="282"/>
      <c r="BL60" s="282"/>
      <c r="BM60" s="282"/>
      <c r="BN60" s="282"/>
      <c r="BO60" s="282"/>
      <c r="BP60" s="282"/>
      <c r="BQ60" s="282"/>
      <c r="BR60" s="282"/>
      <c r="BS60" s="282"/>
      <c r="BT60" s="282"/>
      <c r="BU60" s="282"/>
      <c r="BV60" s="282"/>
      <c r="BW60" s="282"/>
      <c r="BX60" s="282"/>
      <c r="BY60" s="282"/>
      <c r="BZ60" s="282"/>
      <c r="CA60" s="282"/>
      <c r="CC60" s="304" t="s">
        <v>547</v>
      </c>
      <c r="CD60" s="305">
        <v>5965.3300172396321</v>
      </c>
      <c r="CE60" s="305">
        <v>7189.8267035699482</v>
      </c>
      <c r="CF60" s="305">
        <v>9487.5964700686454</v>
      </c>
      <c r="CG60" s="305">
        <v>5645.5594349525827</v>
      </c>
      <c r="CH60" s="305">
        <v>216.58491118856054</v>
      </c>
      <c r="CI60" s="305">
        <v>234.59164857492721</v>
      </c>
      <c r="CJ60" s="305">
        <v>97.674483427677018</v>
      </c>
      <c r="CK60" s="305">
        <v>96.408392083043765</v>
      </c>
      <c r="CL60" s="305">
        <v>0</v>
      </c>
      <c r="CM60" s="305">
        <v>0</v>
      </c>
      <c r="CN60" s="305">
        <f t="shared" si="16"/>
        <v>15767.185881924515</v>
      </c>
      <c r="CO60" s="305">
        <f t="shared" si="16"/>
        <v>13166.386179180503</v>
      </c>
      <c r="CR60" s="248" t="s">
        <v>397</v>
      </c>
      <c r="CS60" s="95">
        <v>168340</v>
      </c>
      <c r="CT60" s="95">
        <v>175890</v>
      </c>
      <c r="CU60" s="95">
        <v>179050</v>
      </c>
      <c r="CV60" s="95">
        <v>184500</v>
      </c>
      <c r="CW60" s="95">
        <v>189050</v>
      </c>
      <c r="CX60" s="95">
        <v>192930</v>
      </c>
      <c r="CY60" s="95">
        <v>204520</v>
      </c>
      <c r="CZ60" s="95">
        <v>219280</v>
      </c>
      <c r="DA60" s="95">
        <v>229540</v>
      </c>
      <c r="DB60" s="95">
        <v>238590</v>
      </c>
      <c r="DC60" s="95">
        <v>245100</v>
      </c>
      <c r="DD60" s="95">
        <v>246070</v>
      </c>
      <c r="DE60" s="95">
        <v>248160</v>
      </c>
      <c r="DF60" s="95">
        <v>252260</v>
      </c>
      <c r="DG60" s="95">
        <v>256840</v>
      </c>
      <c r="DH60" s="95">
        <v>263650</v>
      </c>
      <c r="DI60" s="95">
        <v>270340</v>
      </c>
      <c r="DJ60" s="95">
        <v>276920</v>
      </c>
      <c r="DK60" s="95">
        <v>284600</v>
      </c>
      <c r="DL60" s="95">
        <v>292300</v>
      </c>
      <c r="DM60" s="95">
        <v>299670</v>
      </c>
      <c r="DN60" s="95">
        <v>306840</v>
      </c>
      <c r="DO60" s="95">
        <v>313670</v>
      </c>
      <c r="DP60" s="95">
        <v>317410</v>
      </c>
      <c r="DQ60" s="95">
        <v>318530</v>
      </c>
      <c r="DR60" s="95">
        <v>316910</v>
      </c>
      <c r="DS60" s="95">
        <v>314550</v>
      </c>
      <c r="DT60" s="95">
        <v>312930</v>
      </c>
      <c r="DU60" s="232"/>
    </row>
    <row r="61" spans="3:125" ht="15.75" customHeight="1" thickBot="1">
      <c r="C61" s="317" t="s">
        <v>420</v>
      </c>
      <c r="D61" s="307"/>
      <c r="E61" s="307"/>
      <c r="F61" s="307"/>
      <c r="G61" s="307"/>
      <c r="H61" s="307"/>
      <c r="I61" s="307"/>
      <c r="J61" s="307"/>
      <c r="K61" s="307"/>
      <c r="L61" s="307"/>
      <c r="M61" s="244"/>
      <c r="N61" s="319">
        <v>4830322.5</v>
      </c>
      <c r="O61" s="320">
        <v>4908395</v>
      </c>
      <c r="Q61" s="9"/>
      <c r="R61" s="9"/>
      <c r="S61" s="9"/>
      <c r="T61" s="9"/>
      <c r="U61" s="9"/>
      <c r="AU61" s="282" t="s">
        <v>548</v>
      </c>
      <c r="AV61" s="282"/>
      <c r="BF61" s="282"/>
      <c r="BG61" s="282"/>
      <c r="BH61" s="282"/>
      <c r="BI61" s="282"/>
      <c r="BJ61" s="282"/>
      <c r="BK61" s="282"/>
      <c r="BL61" s="282"/>
      <c r="BM61" s="282"/>
      <c r="BN61" s="282"/>
      <c r="BO61" s="282"/>
      <c r="BP61" s="282"/>
      <c r="BQ61" s="282"/>
      <c r="BR61" s="282"/>
      <c r="BS61" s="282"/>
      <c r="BT61" s="282"/>
      <c r="BU61" s="282"/>
      <c r="BV61" s="282"/>
      <c r="BW61" s="282"/>
      <c r="BX61" s="282"/>
      <c r="BY61" s="282"/>
      <c r="BZ61" s="282"/>
      <c r="CA61" s="282"/>
      <c r="CC61" s="324" t="s">
        <v>549</v>
      </c>
      <c r="CD61" s="325">
        <f t="shared" ref="CD61:CO61" si="18">SUM(CD43:CD60)</f>
        <v>45110.339123527177</v>
      </c>
      <c r="CE61" s="325">
        <f t="shared" si="18"/>
        <v>47500.967301354867</v>
      </c>
      <c r="CF61" s="325">
        <f t="shared" si="18"/>
        <v>16752.540831331924</v>
      </c>
      <c r="CG61" s="325">
        <f t="shared" si="18"/>
        <v>11250.833931940675</v>
      </c>
      <c r="CH61" s="325">
        <f t="shared" si="18"/>
        <v>4679.4508585431786</v>
      </c>
      <c r="CI61" s="325">
        <f t="shared" si="18"/>
        <v>4766.002405905143</v>
      </c>
      <c r="CJ61" s="325">
        <f t="shared" si="18"/>
        <v>2055.9264318415549</v>
      </c>
      <c r="CK61" s="325">
        <f t="shared" si="18"/>
        <v>2043.9934239174802</v>
      </c>
      <c r="CL61" s="325">
        <f t="shared" si="18"/>
        <v>3334.1312525841799</v>
      </c>
      <c r="CM61" s="325">
        <f t="shared" si="18"/>
        <v>3334.5870463302613</v>
      </c>
      <c r="CN61" s="325">
        <f t="shared" si="18"/>
        <v>71932.388497828026</v>
      </c>
      <c r="CO61" s="325">
        <f t="shared" si="18"/>
        <v>68896.384109448409</v>
      </c>
      <c r="CR61" s="248" t="s">
        <v>403</v>
      </c>
      <c r="CS61" s="95">
        <v>143790</v>
      </c>
      <c r="CT61" s="95">
        <v>144460</v>
      </c>
      <c r="CU61" s="95">
        <v>146340</v>
      </c>
      <c r="CV61" s="95">
        <v>149830</v>
      </c>
      <c r="CW61" s="95">
        <v>156290</v>
      </c>
      <c r="CX61" s="95">
        <v>164460</v>
      </c>
      <c r="CY61" s="95">
        <v>172430</v>
      </c>
      <c r="CZ61" s="95">
        <v>175960</v>
      </c>
      <c r="DA61" s="95">
        <v>181560</v>
      </c>
      <c r="DB61" s="95">
        <v>185760</v>
      </c>
      <c r="DC61" s="95">
        <v>189260</v>
      </c>
      <c r="DD61" s="95">
        <v>200700</v>
      </c>
      <c r="DE61" s="95">
        <v>215630</v>
      </c>
      <c r="DF61" s="95">
        <v>226080</v>
      </c>
      <c r="DG61" s="95">
        <v>235780</v>
      </c>
      <c r="DH61" s="95">
        <v>243010</v>
      </c>
      <c r="DI61" s="95">
        <v>243410</v>
      </c>
      <c r="DJ61" s="95">
        <v>244530</v>
      </c>
      <c r="DK61" s="95">
        <v>248310</v>
      </c>
      <c r="DL61" s="95">
        <v>252720</v>
      </c>
      <c r="DM61" s="95">
        <v>258790</v>
      </c>
      <c r="DN61" s="95">
        <v>265410</v>
      </c>
      <c r="DO61" s="95">
        <v>271760</v>
      </c>
      <c r="DP61" s="95">
        <v>279540</v>
      </c>
      <c r="DQ61" s="95">
        <v>287300</v>
      </c>
      <c r="DR61" s="95">
        <v>295960</v>
      </c>
      <c r="DS61" s="95">
        <v>304500</v>
      </c>
      <c r="DT61" s="95">
        <v>312600</v>
      </c>
      <c r="DU61" s="232"/>
    </row>
    <row r="62" spans="3:125" ht="15" customHeight="1">
      <c r="C62" s="317" t="s">
        <v>426</v>
      </c>
      <c r="D62" s="307"/>
      <c r="E62" s="307"/>
      <c r="F62" s="307"/>
      <c r="G62" s="307"/>
      <c r="H62" s="307"/>
      <c r="I62" s="307"/>
      <c r="J62" s="307"/>
      <c r="K62" s="307"/>
      <c r="L62" s="307"/>
      <c r="M62" s="244"/>
      <c r="N62" s="319">
        <v>4872025</v>
      </c>
      <c r="O62" s="320">
        <v>4950400</v>
      </c>
      <c r="Q62" s="9"/>
      <c r="R62" s="9"/>
      <c r="S62" s="9"/>
      <c r="T62" s="9"/>
      <c r="U62" s="9"/>
      <c r="AU62" s="282" t="s">
        <v>550</v>
      </c>
      <c r="AV62" s="282"/>
      <c r="BF62" s="282" t="s">
        <v>551</v>
      </c>
      <c r="BG62" s="282"/>
      <c r="BH62" s="282"/>
      <c r="BI62" s="282"/>
      <c r="BJ62" s="282"/>
      <c r="BK62" s="282"/>
      <c r="BL62" s="282"/>
      <c r="BM62" s="282"/>
      <c r="BN62" s="282"/>
      <c r="BO62" s="282"/>
      <c r="BP62" s="282"/>
      <c r="BQ62" s="282"/>
      <c r="BR62" s="282"/>
      <c r="BS62" s="282"/>
      <c r="BT62" s="282"/>
      <c r="BU62" s="282"/>
      <c r="BV62" s="282"/>
      <c r="BW62" s="282"/>
      <c r="BX62" s="282"/>
      <c r="BY62" s="282"/>
      <c r="BZ62" s="282"/>
      <c r="CA62" s="282"/>
      <c r="CR62" s="248" t="s">
        <v>408</v>
      </c>
      <c r="CS62" s="95">
        <v>146350</v>
      </c>
      <c r="CT62" s="95">
        <v>145160</v>
      </c>
      <c r="CU62" s="95">
        <v>143310</v>
      </c>
      <c r="CV62" s="95">
        <v>141400</v>
      </c>
      <c r="CW62" s="95">
        <v>139270</v>
      </c>
      <c r="CX62" s="95">
        <v>137460</v>
      </c>
      <c r="CY62" s="95">
        <v>138850</v>
      </c>
      <c r="CZ62" s="95">
        <v>141580</v>
      </c>
      <c r="DA62" s="95">
        <v>145810</v>
      </c>
      <c r="DB62" s="95">
        <v>152500</v>
      </c>
      <c r="DC62" s="95">
        <v>160980</v>
      </c>
      <c r="DD62" s="95">
        <v>168690</v>
      </c>
      <c r="DE62" s="95">
        <v>171920</v>
      </c>
      <c r="DF62" s="95">
        <v>177840</v>
      </c>
      <c r="DG62" s="95">
        <v>182480</v>
      </c>
      <c r="DH62" s="95">
        <v>186660</v>
      </c>
      <c r="DI62" s="95">
        <v>197550</v>
      </c>
      <c r="DJ62" s="95">
        <v>211880</v>
      </c>
      <c r="DK62" s="95">
        <v>221830</v>
      </c>
      <c r="DL62" s="95">
        <v>231150</v>
      </c>
      <c r="DM62" s="95">
        <v>238420</v>
      </c>
      <c r="DN62" s="95">
        <v>239270</v>
      </c>
      <c r="DO62" s="95">
        <v>241010</v>
      </c>
      <c r="DP62" s="95">
        <v>245230</v>
      </c>
      <c r="DQ62" s="95">
        <v>250150</v>
      </c>
      <c r="DR62" s="95">
        <v>257060</v>
      </c>
      <c r="DS62" s="95">
        <v>264850</v>
      </c>
      <c r="DT62" s="95">
        <v>272010</v>
      </c>
      <c r="DU62" s="232"/>
    </row>
    <row r="63" spans="3:125" ht="15" customHeight="1">
      <c r="C63" s="317" t="s">
        <v>431</v>
      </c>
      <c r="D63" s="307"/>
      <c r="E63" s="307"/>
      <c r="F63" s="307"/>
      <c r="G63" s="307"/>
      <c r="H63" s="307"/>
      <c r="I63" s="307"/>
      <c r="J63" s="307"/>
      <c r="K63" s="307"/>
      <c r="L63" s="307"/>
      <c r="M63" s="244"/>
      <c r="N63" s="319">
        <v>4913782.5</v>
      </c>
      <c r="O63" s="320">
        <v>4991415</v>
      </c>
      <c r="AU63" s="282" t="s">
        <v>552</v>
      </c>
      <c r="AV63" s="282"/>
      <c r="BF63" s="282" t="s">
        <v>553</v>
      </c>
      <c r="BG63" s="282"/>
      <c r="BH63" s="282"/>
      <c r="BI63" s="282"/>
      <c r="BJ63" s="282"/>
      <c r="BK63" s="282"/>
      <c r="BL63" s="282"/>
      <c r="BM63" s="282"/>
      <c r="BN63" s="282"/>
      <c r="BO63" s="282"/>
      <c r="BP63" s="282"/>
      <c r="BQ63" s="282"/>
      <c r="BR63" s="282"/>
      <c r="BS63" s="282"/>
      <c r="BT63" s="282"/>
      <c r="BU63" s="282"/>
      <c r="BV63" s="282"/>
      <c r="BW63" s="282"/>
      <c r="BX63" s="282"/>
      <c r="BY63" s="282"/>
      <c r="BZ63" s="282"/>
      <c r="CA63" s="282"/>
      <c r="CR63" s="248" t="s">
        <v>414</v>
      </c>
      <c r="CS63" s="95">
        <v>131540</v>
      </c>
      <c r="CT63" s="95">
        <v>132130</v>
      </c>
      <c r="CU63" s="95">
        <v>133490</v>
      </c>
      <c r="CV63" s="95">
        <v>134630</v>
      </c>
      <c r="CW63" s="95">
        <v>134640</v>
      </c>
      <c r="CX63" s="95">
        <v>135030</v>
      </c>
      <c r="CY63" s="95">
        <v>134350</v>
      </c>
      <c r="CZ63" s="95">
        <v>133050</v>
      </c>
      <c r="DA63" s="95">
        <v>132190</v>
      </c>
      <c r="DB63" s="95">
        <v>131130</v>
      </c>
      <c r="DC63" s="95">
        <v>130930</v>
      </c>
      <c r="DD63" s="95">
        <v>132790</v>
      </c>
      <c r="DE63" s="95">
        <v>135720</v>
      </c>
      <c r="DF63" s="95">
        <v>139840</v>
      </c>
      <c r="DG63" s="95">
        <v>146740</v>
      </c>
      <c r="DH63" s="95">
        <v>155530</v>
      </c>
      <c r="DI63" s="95">
        <v>162920</v>
      </c>
      <c r="DJ63" s="95">
        <v>165600</v>
      </c>
      <c r="DK63" s="95">
        <v>171320</v>
      </c>
      <c r="DL63" s="95">
        <v>175960</v>
      </c>
      <c r="DM63" s="95">
        <v>180330</v>
      </c>
      <c r="DN63" s="95">
        <v>191190</v>
      </c>
      <c r="DO63" s="95">
        <v>205760</v>
      </c>
      <c r="DP63" s="95">
        <v>216280</v>
      </c>
      <c r="DQ63" s="95">
        <v>225740</v>
      </c>
      <c r="DR63" s="95">
        <v>233360</v>
      </c>
      <c r="DS63" s="95">
        <v>235050</v>
      </c>
      <c r="DT63" s="95">
        <v>237180</v>
      </c>
      <c r="DU63" s="232"/>
    </row>
    <row r="64" spans="3:125" ht="15" customHeight="1">
      <c r="C64" s="317" t="s">
        <v>435</v>
      </c>
      <c r="D64" s="307"/>
      <c r="E64" s="307"/>
      <c r="F64" s="307"/>
      <c r="G64" s="307"/>
      <c r="H64" s="307"/>
      <c r="I64" s="307"/>
      <c r="J64" s="307"/>
      <c r="K64" s="307"/>
      <c r="L64" s="307"/>
      <c r="M64" s="244"/>
      <c r="N64" s="319">
        <v>4955732.5</v>
      </c>
      <c r="O64" s="320">
        <v>5032310</v>
      </c>
      <c r="AU64" s="282"/>
      <c r="AV64" s="282"/>
      <c r="BF64" s="282" t="s">
        <v>554</v>
      </c>
      <c r="BG64" s="282"/>
      <c r="BH64" s="282"/>
      <c r="BI64" s="282"/>
      <c r="BJ64" s="282"/>
      <c r="BK64" s="282"/>
      <c r="BL64" s="282"/>
      <c r="BM64" s="282"/>
      <c r="BN64" s="282"/>
      <c r="BO64" s="282"/>
      <c r="BP64" s="282"/>
      <c r="BQ64" s="282"/>
      <c r="BR64" s="282"/>
      <c r="BS64" s="282"/>
      <c r="BT64" s="282"/>
      <c r="BU64" s="282"/>
      <c r="BV64" s="282"/>
      <c r="BW64" s="282"/>
      <c r="BX64" s="282"/>
      <c r="BY64" s="282"/>
      <c r="BZ64" s="282"/>
      <c r="CA64" s="282"/>
      <c r="CR64" s="248" t="s">
        <v>419</v>
      </c>
      <c r="CS64" s="95">
        <v>102680</v>
      </c>
      <c r="CT64" s="95">
        <v>105600</v>
      </c>
      <c r="CU64" s="95">
        <v>109060</v>
      </c>
      <c r="CV64" s="95">
        <v>112630</v>
      </c>
      <c r="CW64" s="95">
        <v>114450</v>
      </c>
      <c r="CX64" s="95">
        <v>115680</v>
      </c>
      <c r="CY64" s="95">
        <v>116440</v>
      </c>
      <c r="CZ64" s="95">
        <v>118070</v>
      </c>
      <c r="DA64" s="95">
        <v>119060</v>
      </c>
      <c r="DB64" s="95">
        <v>119520</v>
      </c>
      <c r="DC64" s="95">
        <v>120770</v>
      </c>
      <c r="DD64" s="95">
        <v>120810</v>
      </c>
      <c r="DE64" s="95">
        <v>120440</v>
      </c>
      <c r="DF64" s="95">
        <v>120210</v>
      </c>
      <c r="DG64" s="95">
        <v>119820</v>
      </c>
      <c r="DH64" s="95">
        <v>120170</v>
      </c>
      <c r="DI64" s="95">
        <v>122070</v>
      </c>
      <c r="DJ64" s="95">
        <v>125210</v>
      </c>
      <c r="DK64" s="95">
        <v>129120</v>
      </c>
      <c r="DL64" s="95">
        <v>135550</v>
      </c>
      <c r="DM64" s="95">
        <v>143530</v>
      </c>
      <c r="DN64" s="95">
        <v>151010</v>
      </c>
      <c r="DO64" s="95">
        <v>154040</v>
      </c>
      <c r="DP64" s="95">
        <v>160150</v>
      </c>
      <c r="DQ64" s="95">
        <v>165200</v>
      </c>
      <c r="DR64" s="95">
        <v>169960</v>
      </c>
      <c r="DS64" s="95">
        <v>181270</v>
      </c>
      <c r="DT64" s="95">
        <v>195330</v>
      </c>
      <c r="DU64" s="232"/>
    </row>
    <row r="65" spans="3:125" ht="15" customHeight="1">
      <c r="C65" s="317" t="s">
        <v>440</v>
      </c>
      <c r="D65" s="307"/>
      <c r="E65" s="307"/>
      <c r="F65" s="307"/>
      <c r="G65" s="307"/>
      <c r="H65" s="307"/>
      <c r="I65" s="307"/>
      <c r="J65" s="307"/>
      <c r="K65" s="307"/>
      <c r="L65" s="307"/>
      <c r="M65" s="244"/>
      <c r="N65" s="319">
        <v>4997377.5</v>
      </c>
      <c r="O65" s="320">
        <v>5073355</v>
      </c>
      <c r="AU65" s="282" t="s">
        <v>438</v>
      </c>
      <c r="AV65" s="282"/>
      <c r="BF65" s="326" t="s">
        <v>555</v>
      </c>
      <c r="BG65" s="326"/>
      <c r="BH65" s="326"/>
      <c r="BI65" s="326"/>
      <c r="BJ65" s="326"/>
      <c r="BK65" s="326"/>
      <c r="BL65" s="326"/>
      <c r="BM65" s="326"/>
      <c r="BN65" s="326"/>
      <c r="BO65" s="326"/>
      <c r="BP65" s="326"/>
      <c r="BQ65" s="326"/>
      <c r="BR65" s="326"/>
      <c r="BS65" s="326"/>
      <c r="BT65" s="326"/>
      <c r="BU65" s="326"/>
      <c r="BV65" s="326"/>
      <c r="BW65" s="326"/>
      <c r="BX65" s="326"/>
      <c r="BY65" s="326"/>
      <c r="BZ65" s="326"/>
      <c r="CA65" s="326"/>
      <c r="CR65" s="248" t="s">
        <v>425</v>
      </c>
      <c r="CS65" s="95">
        <v>78260</v>
      </c>
      <c r="CT65" s="95">
        <v>79710</v>
      </c>
      <c r="CU65" s="95">
        <v>79530</v>
      </c>
      <c r="CV65" s="95">
        <v>79050</v>
      </c>
      <c r="CW65" s="95">
        <v>81350</v>
      </c>
      <c r="CX65" s="95">
        <v>83750</v>
      </c>
      <c r="CY65" s="95">
        <v>86620</v>
      </c>
      <c r="CZ65" s="95">
        <v>89820</v>
      </c>
      <c r="DA65" s="95">
        <v>93130</v>
      </c>
      <c r="DB65" s="95">
        <v>95050</v>
      </c>
      <c r="DC65" s="95">
        <v>96550</v>
      </c>
      <c r="DD65" s="95">
        <v>97650</v>
      </c>
      <c r="DE65" s="95">
        <v>99660</v>
      </c>
      <c r="DF65" s="95">
        <v>100990</v>
      </c>
      <c r="DG65" s="95">
        <v>101940</v>
      </c>
      <c r="DH65" s="95">
        <v>103600</v>
      </c>
      <c r="DI65" s="95">
        <v>104050</v>
      </c>
      <c r="DJ65" s="95">
        <v>103940</v>
      </c>
      <c r="DK65" s="95">
        <v>103850</v>
      </c>
      <c r="DL65" s="95">
        <v>104020</v>
      </c>
      <c r="DM65" s="95">
        <v>104330</v>
      </c>
      <c r="DN65" s="95">
        <v>106260</v>
      </c>
      <c r="DO65" s="95">
        <v>109340</v>
      </c>
      <c r="DP65" s="95">
        <v>113540</v>
      </c>
      <c r="DQ65" s="95">
        <v>120100</v>
      </c>
      <c r="DR65" s="95">
        <v>127960</v>
      </c>
      <c r="DS65" s="95">
        <v>135280</v>
      </c>
      <c r="DT65" s="95">
        <v>138330</v>
      </c>
      <c r="DU65" s="232"/>
    </row>
    <row r="66" spans="3:125" ht="15" customHeight="1">
      <c r="C66" s="317" t="s">
        <v>445</v>
      </c>
      <c r="D66" s="307"/>
      <c r="E66" s="307"/>
      <c r="F66" s="307"/>
      <c r="G66" s="307"/>
      <c r="H66" s="307"/>
      <c r="I66" s="307"/>
      <c r="J66" s="307"/>
      <c r="K66" s="307"/>
      <c r="L66" s="307"/>
      <c r="M66" s="244"/>
      <c r="N66" s="319">
        <v>5038425</v>
      </c>
      <c r="O66" s="320">
        <v>5114340</v>
      </c>
      <c r="AU66" s="282" t="s">
        <v>443</v>
      </c>
      <c r="AV66" s="282"/>
      <c r="BF66" s="282"/>
      <c r="BG66" s="282"/>
      <c r="BH66" s="282"/>
      <c r="BI66" s="282"/>
      <c r="BJ66" s="282"/>
      <c r="BK66" s="282"/>
      <c r="BL66" s="282"/>
      <c r="BM66" s="282"/>
      <c r="BN66" s="282"/>
      <c r="BO66" s="282"/>
      <c r="BP66" s="282"/>
      <c r="BQ66" s="282"/>
      <c r="BR66" s="282"/>
      <c r="BS66" s="282"/>
      <c r="BT66" s="282"/>
      <c r="BU66" s="282"/>
      <c r="BV66" s="282"/>
      <c r="BW66" s="282"/>
      <c r="BX66" s="282"/>
      <c r="BY66" s="282"/>
      <c r="BZ66" s="282"/>
      <c r="CA66" s="282"/>
      <c r="CR66" s="248" t="s">
        <v>430</v>
      </c>
      <c r="CS66" s="95">
        <v>47380</v>
      </c>
      <c r="CT66" s="95">
        <v>49290</v>
      </c>
      <c r="CU66" s="95">
        <v>51210</v>
      </c>
      <c r="CV66" s="95">
        <v>53270</v>
      </c>
      <c r="CW66" s="95">
        <v>55120</v>
      </c>
      <c r="CX66" s="95">
        <v>56420</v>
      </c>
      <c r="CY66" s="95">
        <v>57650</v>
      </c>
      <c r="CZ66" s="95">
        <v>57900</v>
      </c>
      <c r="DA66" s="95">
        <v>57950</v>
      </c>
      <c r="DB66" s="95">
        <v>59960</v>
      </c>
      <c r="DC66" s="95">
        <v>62520</v>
      </c>
      <c r="DD66" s="95">
        <v>65030</v>
      </c>
      <c r="DE66" s="95">
        <v>67760</v>
      </c>
      <c r="DF66" s="95">
        <v>70480</v>
      </c>
      <c r="DG66" s="95">
        <v>72400</v>
      </c>
      <c r="DH66" s="95">
        <v>74180</v>
      </c>
      <c r="DI66" s="95">
        <v>75450</v>
      </c>
      <c r="DJ66" s="95">
        <v>77110</v>
      </c>
      <c r="DK66" s="95">
        <v>78420</v>
      </c>
      <c r="DL66" s="95">
        <v>79430</v>
      </c>
      <c r="DM66" s="95">
        <v>81080</v>
      </c>
      <c r="DN66" s="95">
        <v>81730</v>
      </c>
      <c r="DO66" s="95">
        <v>82120</v>
      </c>
      <c r="DP66" s="95">
        <v>82750</v>
      </c>
      <c r="DQ66" s="95">
        <v>83240</v>
      </c>
      <c r="DR66" s="95">
        <v>84080</v>
      </c>
      <c r="DS66" s="95">
        <v>86230</v>
      </c>
      <c r="DT66" s="95">
        <v>89370</v>
      </c>
      <c r="DU66" s="232"/>
    </row>
    <row r="67" spans="3:125" ht="15" customHeight="1">
      <c r="C67" s="271" t="s">
        <v>449</v>
      </c>
      <c r="D67" s="244"/>
      <c r="E67" s="244"/>
      <c r="F67" s="244"/>
      <c r="G67" s="244"/>
      <c r="H67" s="244"/>
      <c r="I67" s="244"/>
      <c r="J67" s="244"/>
      <c r="K67" s="244"/>
      <c r="L67" s="244"/>
      <c r="M67" s="244"/>
      <c r="N67" s="319">
        <v>5079290</v>
      </c>
      <c r="O67" s="244"/>
      <c r="AU67" s="282" t="s">
        <v>447</v>
      </c>
      <c r="AV67" s="282"/>
      <c r="BF67" s="282"/>
      <c r="BG67" s="282"/>
      <c r="BH67" s="282"/>
      <c r="BI67" s="282"/>
      <c r="BJ67" s="282"/>
      <c r="BK67" s="282"/>
      <c r="BL67" s="282"/>
      <c r="BM67" s="282"/>
      <c r="BN67" s="282"/>
      <c r="BO67" s="282"/>
      <c r="BP67" s="282"/>
      <c r="BQ67" s="282"/>
      <c r="BR67" s="282"/>
      <c r="BS67" s="282"/>
      <c r="BT67" s="282"/>
      <c r="BU67" s="282"/>
      <c r="BV67" s="282"/>
      <c r="BW67" s="282"/>
      <c r="BX67" s="282"/>
      <c r="BY67" s="282"/>
      <c r="BZ67" s="282"/>
      <c r="CA67" s="282"/>
      <c r="CR67" s="248" t="s">
        <v>434</v>
      </c>
      <c r="CS67" s="95">
        <v>22320</v>
      </c>
      <c r="CT67" s="95">
        <v>23210</v>
      </c>
      <c r="CU67" s="95">
        <v>24340</v>
      </c>
      <c r="CV67" s="95">
        <v>25520</v>
      </c>
      <c r="CW67" s="95">
        <v>26630</v>
      </c>
      <c r="CX67" s="95">
        <v>27510</v>
      </c>
      <c r="CY67" s="95">
        <v>29010</v>
      </c>
      <c r="CZ67" s="95">
        <v>30430</v>
      </c>
      <c r="DA67" s="95">
        <v>31900</v>
      </c>
      <c r="DB67" s="95">
        <v>33280</v>
      </c>
      <c r="DC67" s="95">
        <v>34560</v>
      </c>
      <c r="DD67" s="95">
        <v>35200</v>
      </c>
      <c r="DE67" s="95">
        <v>35390</v>
      </c>
      <c r="DF67" s="95">
        <v>35590</v>
      </c>
      <c r="DG67" s="95">
        <v>37210</v>
      </c>
      <c r="DH67" s="95">
        <v>39080</v>
      </c>
      <c r="DI67" s="95">
        <v>41160</v>
      </c>
      <c r="DJ67" s="95">
        <v>43020</v>
      </c>
      <c r="DK67" s="95">
        <v>45140</v>
      </c>
      <c r="DL67" s="95">
        <v>46680</v>
      </c>
      <c r="DM67" s="95">
        <v>47810</v>
      </c>
      <c r="DN67" s="95">
        <v>48760</v>
      </c>
      <c r="DO67" s="95">
        <v>49780</v>
      </c>
      <c r="DP67" s="95">
        <v>51470</v>
      </c>
      <c r="DQ67" s="95">
        <v>52500</v>
      </c>
      <c r="DR67" s="95">
        <v>54390</v>
      </c>
      <c r="DS67" s="95">
        <v>55140</v>
      </c>
      <c r="DT67" s="95">
        <v>55710</v>
      </c>
      <c r="DU67" s="232"/>
    </row>
    <row r="68" spans="3:125" ht="15" customHeight="1">
      <c r="C68" s="271" t="s">
        <v>453</v>
      </c>
      <c r="D68" s="244"/>
      <c r="E68" s="244"/>
      <c r="F68" s="244"/>
      <c r="G68" s="244"/>
      <c r="H68" s="244"/>
      <c r="I68" s="244"/>
      <c r="J68" s="244"/>
      <c r="K68" s="244"/>
      <c r="L68" s="244"/>
      <c r="M68" s="244"/>
      <c r="N68" s="319">
        <v>5119525</v>
      </c>
      <c r="O68" s="244"/>
      <c r="AU68" s="282" t="s">
        <v>452</v>
      </c>
      <c r="AV68" s="282"/>
      <c r="CR68" s="248" t="s">
        <v>439</v>
      </c>
      <c r="CS68" s="95">
        <v>31400</v>
      </c>
      <c r="CT68" s="95">
        <v>32900</v>
      </c>
      <c r="CU68" s="95">
        <v>34500</v>
      </c>
      <c r="CV68" s="95">
        <v>36300</v>
      </c>
      <c r="CW68" s="95">
        <v>37800</v>
      </c>
      <c r="CX68" s="95">
        <v>39200</v>
      </c>
      <c r="CY68" s="95">
        <v>41200</v>
      </c>
      <c r="CZ68" s="95">
        <v>43300</v>
      </c>
      <c r="DA68" s="95">
        <v>45600</v>
      </c>
      <c r="DB68" s="95">
        <v>47800</v>
      </c>
      <c r="DC68" s="95">
        <v>49800</v>
      </c>
      <c r="DD68" s="95">
        <v>51200</v>
      </c>
      <c r="DE68" s="95">
        <v>52100</v>
      </c>
      <c r="DF68" s="95">
        <v>53100</v>
      </c>
      <c r="DG68" s="95">
        <v>55500</v>
      </c>
      <c r="DH68" s="95">
        <v>58100</v>
      </c>
      <c r="DI68" s="95">
        <v>60800</v>
      </c>
      <c r="DJ68" s="95">
        <v>63200</v>
      </c>
      <c r="DK68" s="95">
        <v>65600</v>
      </c>
      <c r="DL68" s="95">
        <v>68500</v>
      </c>
      <c r="DM68" s="95">
        <v>70800</v>
      </c>
      <c r="DN68" s="95">
        <v>72800</v>
      </c>
      <c r="DO68" s="95">
        <v>74700</v>
      </c>
      <c r="DP68" s="95">
        <v>77700</v>
      </c>
      <c r="DQ68" s="95">
        <v>80100</v>
      </c>
      <c r="DR68" s="95">
        <v>83000</v>
      </c>
      <c r="DS68" s="95">
        <v>85200</v>
      </c>
      <c r="DT68" s="95">
        <v>86700</v>
      </c>
      <c r="DU68" s="232"/>
    </row>
    <row r="69" spans="3:125" ht="15" customHeight="1">
      <c r="C69" s="271" t="s">
        <v>457</v>
      </c>
      <c r="D69" s="244"/>
      <c r="E69" s="244"/>
      <c r="F69" s="244"/>
      <c r="G69" s="244"/>
      <c r="H69" s="244"/>
      <c r="I69" s="244"/>
      <c r="J69" s="244"/>
      <c r="K69" s="244"/>
      <c r="L69" s="244"/>
      <c r="M69" s="244"/>
      <c r="N69" s="319">
        <v>5158732.5</v>
      </c>
      <c r="O69" s="244"/>
      <c r="AU69" s="282" t="s">
        <v>456</v>
      </c>
      <c r="AV69" s="282"/>
      <c r="CR69" s="248" t="s">
        <v>444</v>
      </c>
      <c r="CS69" s="95">
        <v>9110</v>
      </c>
      <c r="CT69" s="95">
        <v>9660</v>
      </c>
      <c r="CU69" s="95">
        <v>10160</v>
      </c>
      <c r="CV69" s="95">
        <v>10820</v>
      </c>
      <c r="CW69" s="95">
        <v>11210</v>
      </c>
      <c r="CX69" s="95">
        <v>11680</v>
      </c>
      <c r="CY69" s="95">
        <v>12190</v>
      </c>
      <c r="CZ69" s="95">
        <v>12880</v>
      </c>
      <c r="DA69" s="95">
        <v>13700</v>
      </c>
      <c r="DB69" s="95">
        <v>14510</v>
      </c>
      <c r="DC69" s="95">
        <v>15230</v>
      </c>
      <c r="DD69" s="95">
        <v>16000</v>
      </c>
      <c r="DE69" s="95">
        <v>16720</v>
      </c>
      <c r="DF69" s="95">
        <v>17510</v>
      </c>
      <c r="DG69" s="95">
        <v>18270</v>
      </c>
      <c r="DH69" s="95">
        <v>19060</v>
      </c>
      <c r="DI69" s="95">
        <v>19610</v>
      </c>
      <c r="DJ69" s="95">
        <v>20170</v>
      </c>
      <c r="DK69" s="95">
        <v>20490</v>
      </c>
      <c r="DL69" s="95">
        <v>21850</v>
      </c>
      <c r="DM69" s="95">
        <v>22980</v>
      </c>
      <c r="DN69" s="95">
        <v>24060</v>
      </c>
      <c r="DO69" s="95">
        <v>24940</v>
      </c>
      <c r="DP69" s="95">
        <v>26220</v>
      </c>
      <c r="DQ69" s="95">
        <v>27580</v>
      </c>
      <c r="DR69" s="95">
        <v>28650</v>
      </c>
      <c r="DS69" s="95">
        <v>30080</v>
      </c>
      <c r="DT69" s="95">
        <v>31020</v>
      </c>
      <c r="DU69" s="327"/>
    </row>
    <row r="70" spans="3:125" ht="15" customHeight="1">
      <c r="C70" s="271" t="s">
        <v>460</v>
      </c>
      <c r="D70" s="244"/>
      <c r="E70" s="244"/>
      <c r="F70" s="244"/>
      <c r="G70" s="244"/>
      <c r="H70" s="244"/>
      <c r="I70" s="244"/>
      <c r="J70" s="244"/>
      <c r="K70" s="244"/>
      <c r="L70" s="244"/>
      <c r="M70" s="244"/>
      <c r="N70" s="319">
        <v>5197335</v>
      </c>
      <c r="O70" s="244"/>
      <c r="AU70" s="282" t="s">
        <v>459</v>
      </c>
      <c r="AV70" s="282"/>
      <c r="CR70" s="278" t="s">
        <v>401</v>
      </c>
      <c r="CS70" s="278"/>
      <c r="CT70" s="278"/>
      <c r="CU70" s="278"/>
      <c r="CV70" s="278"/>
      <c r="CW70" s="278"/>
      <c r="CX70" s="278"/>
      <c r="CY70" s="278"/>
      <c r="CZ70" s="278"/>
      <c r="DA70" s="278"/>
      <c r="DB70" s="278"/>
      <c r="DC70" s="278"/>
      <c r="DD70" s="278"/>
      <c r="DE70" s="278"/>
      <c r="DF70" s="278"/>
      <c r="DG70" s="278"/>
      <c r="DH70" s="278"/>
      <c r="DI70" s="278"/>
      <c r="DJ70" s="278"/>
      <c r="DK70" s="278"/>
      <c r="DL70" s="278"/>
      <c r="DM70" s="278"/>
      <c r="DN70" s="278"/>
      <c r="DO70" s="278"/>
      <c r="DP70" s="278"/>
      <c r="DQ70" s="278"/>
      <c r="DR70" s="278"/>
      <c r="DS70" s="278"/>
      <c r="DT70" s="278"/>
      <c r="DU70" s="256"/>
    </row>
    <row r="71" spans="3:125" ht="15" customHeight="1">
      <c r="C71" s="271" t="s">
        <v>463</v>
      </c>
      <c r="D71" s="244"/>
      <c r="E71" s="244"/>
      <c r="F71" s="244"/>
      <c r="G71" s="244"/>
      <c r="H71" s="244"/>
      <c r="I71" s="244"/>
      <c r="J71" s="244"/>
      <c r="K71" s="244"/>
      <c r="L71" s="244"/>
      <c r="M71" s="244"/>
      <c r="N71" s="319">
        <v>5235485</v>
      </c>
      <c r="O71" s="244"/>
      <c r="AU71" s="282" t="s">
        <v>462</v>
      </c>
      <c r="AV71" s="282"/>
      <c r="CR71" s="282" t="s">
        <v>407</v>
      </c>
      <c r="CS71" s="282"/>
      <c r="CT71" s="282"/>
      <c r="CU71" s="282"/>
      <c r="CV71" s="282"/>
      <c r="CW71" s="282"/>
      <c r="CX71" s="282"/>
      <c r="CY71" s="282"/>
      <c r="CZ71" s="282"/>
      <c r="DA71" s="282"/>
      <c r="DB71" s="282"/>
      <c r="DC71" s="282"/>
      <c r="DD71" s="282"/>
      <c r="DE71" s="282"/>
      <c r="DF71" s="282"/>
      <c r="DG71" s="282"/>
      <c r="DH71" s="282"/>
      <c r="DI71" s="282"/>
      <c r="DJ71" s="282"/>
      <c r="DK71" s="282"/>
      <c r="DL71" s="282"/>
      <c r="DM71" s="282"/>
      <c r="DN71" s="282"/>
      <c r="DO71" s="282"/>
      <c r="DP71" s="282"/>
      <c r="DQ71" s="282"/>
      <c r="DR71" s="282"/>
      <c r="DS71" s="282"/>
      <c r="DT71" s="282"/>
      <c r="DU71" s="256"/>
    </row>
    <row r="72" spans="3:125" ht="15" customHeight="1">
      <c r="C72" s="271" t="s">
        <v>465</v>
      </c>
      <c r="D72" s="244"/>
      <c r="E72" s="244"/>
      <c r="F72" s="244"/>
      <c r="G72" s="244"/>
      <c r="H72" s="244"/>
      <c r="I72" s="244"/>
      <c r="J72" s="244"/>
      <c r="K72" s="244"/>
      <c r="L72" s="244"/>
      <c r="M72" s="244"/>
      <c r="N72" s="319">
        <v>5272772.5</v>
      </c>
      <c r="O72" s="244"/>
      <c r="AU72" s="282"/>
      <c r="AV72" s="282"/>
      <c r="CR72" s="282" t="s">
        <v>413</v>
      </c>
      <c r="CS72" s="282"/>
      <c r="CT72" s="282"/>
      <c r="CU72" s="282"/>
      <c r="CV72" s="282"/>
      <c r="CW72" s="282"/>
      <c r="CX72" s="282"/>
      <c r="CY72" s="282"/>
      <c r="CZ72" s="282"/>
      <c r="DA72" s="282"/>
      <c r="DB72" s="282"/>
      <c r="DC72" s="282"/>
      <c r="DD72" s="282"/>
      <c r="DE72" s="282"/>
      <c r="DF72" s="282"/>
      <c r="DG72" s="282"/>
      <c r="DH72" s="282"/>
      <c r="DI72" s="282"/>
      <c r="DJ72" s="282"/>
      <c r="DK72" s="282"/>
      <c r="DL72" s="282"/>
      <c r="DM72" s="282"/>
      <c r="DN72" s="282"/>
      <c r="DO72" s="282"/>
      <c r="DP72" s="282"/>
      <c r="DQ72" s="282"/>
      <c r="DR72" s="282"/>
      <c r="DS72" s="282"/>
      <c r="DT72" s="282"/>
      <c r="DU72" s="256"/>
    </row>
    <row r="73" spans="3:125" ht="15" customHeight="1">
      <c r="C73" s="271" t="s">
        <v>468</v>
      </c>
      <c r="D73" s="244"/>
      <c r="E73" s="244"/>
      <c r="F73" s="244"/>
      <c r="G73" s="244"/>
      <c r="H73" s="244"/>
      <c r="I73" s="244"/>
      <c r="J73" s="244"/>
      <c r="K73" s="244"/>
      <c r="L73" s="244"/>
      <c r="M73" s="244"/>
      <c r="N73" s="319">
        <v>5309367.5</v>
      </c>
      <c r="O73" s="244"/>
      <c r="AU73" s="282" t="s">
        <v>467</v>
      </c>
      <c r="AV73" s="282"/>
      <c r="CR73" s="282"/>
      <c r="CS73" s="282"/>
      <c r="CT73" s="282"/>
      <c r="CU73" s="282"/>
      <c r="CV73" s="282"/>
      <c r="CW73" s="282"/>
      <c r="CX73" s="282"/>
      <c r="CY73" s="282"/>
      <c r="CZ73" s="282"/>
      <c r="DA73" s="282"/>
      <c r="DB73" s="282"/>
      <c r="DC73" s="282"/>
      <c r="DD73" s="282"/>
      <c r="DE73" s="282"/>
      <c r="DF73" s="282"/>
      <c r="DG73" s="282"/>
      <c r="DH73" s="282"/>
      <c r="DI73" s="282"/>
      <c r="DJ73" s="282"/>
      <c r="DK73" s="282"/>
      <c r="DL73" s="282"/>
      <c r="DM73" s="282"/>
      <c r="DN73" s="282"/>
      <c r="DO73" s="282"/>
      <c r="DP73" s="282"/>
      <c r="DQ73" s="282"/>
      <c r="DR73" s="282"/>
      <c r="DS73" s="282"/>
      <c r="DT73" s="282"/>
      <c r="DU73" s="327"/>
    </row>
    <row r="74" spans="3:125" ht="15" customHeight="1">
      <c r="D74" s="328">
        <f>D46-D45</f>
        <v>38130</v>
      </c>
      <c r="E74" s="328">
        <f>E47-E46</f>
        <v>32194</v>
      </c>
      <c r="F74" s="328">
        <f>F48-F47</f>
        <v>41872.5</v>
      </c>
      <c r="G74" s="328">
        <f>G49-G48</f>
        <v>45760</v>
      </c>
      <c r="H74" s="328">
        <f>H50-H49</f>
        <v>43737.5</v>
      </c>
      <c r="I74" s="328">
        <f>I51-I50</f>
        <v>51515</v>
      </c>
      <c r="J74" s="328">
        <f>J52-J51</f>
        <v>48465</v>
      </c>
      <c r="K74" s="328">
        <f>K53-K52</f>
        <v>41387.5</v>
      </c>
      <c r="L74" s="328">
        <f>L54-L53</f>
        <v>33990</v>
      </c>
      <c r="M74" s="328">
        <f>M55-M54</f>
        <v>41490</v>
      </c>
      <c r="N74" s="328">
        <f>N56-N55</f>
        <v>64305</v>
      </c>
      <c r="O74" s="328">
        <f>O57-O56</f>
        <v>76805</v>
      </c>
      <c r="AU74" s="282"/>
      <c r="AV74" s="282"/>
      <c r="CR74" s="278" t="s">
        <v>424</v>
      </c>
      <c r="CS74" s="278"/>
      <c r="CT74" s="278"/>
      <c r="CU74" s="278"/>
      <c r="CV74" s="278"/>
      <c r="CW74" s="278"/>
      <c r="CX74" s="278"/>
      <c r="CY74" s="278"/>
      <c r="CZ74" s="278"/>
      <c r="DA74" s="278"/>
      <c r="DB74" s="278"/>
      <c r="DC74" s="278"/>
      <c r="DD74" s="278"/>
      <c r="DE74" s="278"/>
      <c r="DF74" s="278"/>
      <c r="DG74" s="278"/>
      <c r="DH74" s="278"/>
      <c r="DI74" s="278"/>
      <c r="DJ74" s="278"/>
      <c r="DK74" s="278"/>
      <c r="DL74" s="278"/>
      <c r="DM74" s="278"/>
      <c r="DN74" s="278"/>
      <c r="DO74" s="278"/>
      <c r="DP74" s="278"/>
      <c r="DQ74" s="278"/>
      <c r="DR74" s="278"/>
      <c r="DS74" s="278"/>
      <c r="DT74" s="278"/>
      <c r="DU74" s="256"/>
    </row>
    <row r="75" spans="3:125" ht="15" customHeight="1">
      <c r="AU75" s="282" t="s">
        <v>471</v>
      </c>
      <c r="AV75" s="282"/>
      <c r="CR75" s="282" t="s">
        <v>429</v>
      </c>
      <c r="CS75" s="282"/>
      <c r="CT75" s="282"/>
      <c r="CU75" s="282"/>
      <c r="CV75" s="282"/>
      <c r="CW75" s="282"/>
      <c r="CX75" s="282"/>
      <c r="CY75" s="282"/>
      <c r="CZ75" s="282"/>
      <c r="DA75" s="282"/>
      <c r="DB75" s="282"/>
      <c r="DC75" s="282"/>
      <c r="DD75" s="282"/>
      <c r="DE75" s="282"/>
      <c r="DF75" s="282"/>
      <c r="DG75" s="282"/>
      <c r="DH75" s="282"/>
      <c r="DI75" s="282"/>
      <c r="DJ75" s="282"/>
      <c r="DK75" s="282"/>
      <c r="DL75" s="282"/>
      <c r="DM75" s="282"/>
      <c r="DN75" s="282"/>
      <c r="DO75" s="282"/>
      <c r="DP75" s="282"/>
      <c r="DQ75" s="282"/>
      <c r="DR75" s="282"/>
      <c r="DS75" s="282"/>
      <c r="DT75" s="282"/>
      <c r="DU75" s="256"/>
    </row>
    <row r="76" spans="3:125" ht="15" customHeight="1">
      <c r="AU76" s="282" t="s">
        <v>556</v>
      </c>
      <c r="AV76" s="282"/>
      <c r="CR76" s="282"/>
      <c r="CS76" s="282"/>
      <c r="CT76" s="282"/>
      <c r="CU76" s="282"/>
      <c r="CV76" s="282"/>
      <c r="CW76" s="282"/>
      <c r="CX76" s="282"/>
      <c r="CY76" s="282"/>
      <c r="CZ76" s="282"/>
      <c r="DA76" s="282"/>
      <c r="DB76" s="282"/>
      <c r="DC76" s="282"/>
      <c r="DD76" s="282"/>
      <c r="DE76" s="282"/>
      <c r="DF76" s="282"/>
      <c r="DG76" s="282"/>
      <c r="DH76" s="282"/>
      <c r="DI76" s="282"/>
      <c r="DJ76" s="282"/>
      <c r="DK76" s="282"/>
      <c r="DL76" s="282"/>
      <c r="DM76" s="282"/>
      <c r="DN76" s="282"/>
      <c r="DO76" s="282"/>
      <c r="DP76" s="282"/>
      <c r="DQ76" s="282"/>
      <c r="DR76" s="282"/>
      <c r="DS76" s="282"/>
      <c r="DT76" s="282"/>
      <c r="DU76" s="256"/>
    </row>
    <row r="77" spans="3:125" ht="15" customHeight="1">
      <c r="AU77" s="282"/>
      <c r="AV77" s="282"/>
      <c r="CR77" s="282" t="s">
        <v>438</v>
      </c>
      <c r="CS77" s="282"/>
      <c r="CT77" s="282"/>
      <c r="CU77" s="282"/>
      <c r="CV77" s="282"/>
      <c r="CW77" s="282"/>
      <c r="CX77" s="282"/>
      <c r="CY77" s="282"/>
      <c r="CZ77" s="282"/>
      <c r="DA77" s="282"/>
      <c r="DB77" s="282"/>
      <c r="DC77" s="282"/>
      <c r="DD77" s="282"/>
      <c r="DE77" s="282"/>
      <c r="DF77" s="282"/>
      <c r="DG77" s="282"/>
      <c r="DH77" s="282"/>
      <c r="DI77" s="282"/>
      <c r="DJ77" s="282"/>
      <c r="DK77" s="282"/>
      <c r="DL77" s="282"/>
      <c r="DM77" s="282"/>
      <c r="DN77" s="282"/>
      <c r="DO77" s="282"/>
      <c r="DP77" s="282"/>
      <c r="DQ77" s="282"/>
      <c r="DR77" s="282"/>
      <c r="DS77" s="282"/>
      <c r="DT77" s="282"/>
      <c r="DU77" s="256"/>
    </row>
    <row r="78" spans="3:125" ht="15" customHeight="1">
      <c r="AU78" s="282" t="s">
        <v>478</v>
      </c>
      <c r="AV78" s="282"/>
      <c r="CR78" s="282" t="s">
        <v>443</v>
      </c>
      <c r="CS78" s="282"/>
      <c r="CT78" s="282"/>
      <c r="CU78" s="282"/>
      <c r="CV78" s="282"/>
      <c r="CW78" s="282"/>
      <c r="CX78" s="282"/>
      <c r="CY78" s="282"/>
      <c r="CZ78" s="282"/>
      <c r="DA78" s="282"/>
      <c r="DB78" s="282"/>
      <c r="DC78" s="282"/>
      <c r="DD78" s="282"/>
      <c r="DE78" s="282"/>
      <c r="DF78" s="282"/>
      <c r="DG78" s="282"/>
      <c r="DH78" s="282"/>
      <c r="DI78" s="282"/>
      <c r="DJ78" s="282"/>
      <c r="DK78" s="282"/>
      <c r="DL78" s="282"/>
      <c r="DM78" s="282"/>
      <c r="DN78" s="282"/>
      <c r="DO78" s="282"/>
      <c r="DP78" s="282"/>
      <c r="DQ78" s="282"/>
      <c r="DR78" s="282"/>
      <c r="DS78" s="282"/>
      <c r="DT78" s="282"/>
      <c r="DU78" s="256"/>
    </row>
    <row r="79" spans="3:125" ht="15" customHeight="1">
      <c r="AU79" s="282" t="s">
        <v>557</v>
      </c>
      <c r="AV79" s="282"/>
      <c r="CR79" s="282" t="s">
        <v>447</v>
      </c>
      <c r="CS79" s="282"/>
      <c r="CT79" s="282"/>
      <c r="CU79" s="282"/>
      <c r="CV79" s="282"/>
      <c r="CW79" s="282"/>
      <c r="CX79" s="282"/>
      <c r="CY79" s="282"/>
      <c r="CZ79" s="282"/>
      <c r="DA79" s="282"/>
      <c r="DB79" s="282"/>
      <c r="DC79" s="282"/>
      <c r="DD79" s="282"/>
      <c r="DE79" s="282"/>
      <c r="DF79" s="282"/>
      <c r="DG79" s="282"/>
      <c r="DH79" s="282"/>
      <c r="DI79" s="282"/>
      <c r="DJ79" s="282"/>
      <c r="DK79" s="282"/>
      <c r="DL79" s="282"/>
      <c r="DM79" s="282"/>
      <c r="DN79" s="282"/>
      <c r="DO79" s="282"/>
      <c r="DP79" s="282"/>
      <c r="DQ79" s="282"/>
      <c r="DR79" s="282"/>
      <c r="DS79" s="282"/>
      <c r="DT79" s="282"/>
      <c r="DU79" s="256"/>
    </row>
    <row r="80" spans="3:125" ht="15" customHeight="1">
      <c r="AU80" s="282"/>
      <c r="AV80" s="282"/>
      <c r="CR80" s="282" t="s">
        <v>452</v>
      </c>
      <c r="CS80" s="282"/>
      <c r="CT80" s="282"/>
      <c r="CU80" s="282"/>
      <c r="CV80" s="282"/>
      <c r="CW80" s="282"/>
      <c r="CX80" s="282"/>
      <c r="CY80" s="282"/>
      <c r="CZ80" s="282"/>
      <c r="DA80" s="282"/>
      <c r="DB80" s="282"/>
      <c r="DC80" s="282"/>
      <c r="DD80" s="282"/>
      <c r="DE80" s="282"/>
      <c r="DF80" s="282"/>
      <c r="DG80" s="282"/>
      <c r="DH80" s="282"/>
      <c r="DI80" s="282"/>
      <c r="DJ80" s="282"/>
      <c r="DK80" s="282"/>
      <c r="DL80" s="282"/>
      <c r="DM80" s="282"/>
      <c r="DN80" s="282"/>
      <c r="DO80" s="282"/>
      <c r="DP80" s="282"/>
      <c r="DQ80" s="282"/>
      <c r="DR80" s="282"/>
      <c r="DS80" s="282"/>
      <c r="DT80" s="282"/>
      <c r="DU80" s="256"/>
    </row>
    <row r="81" spans="47:125" ht="15" customHeight="1">
      <c r="AU81" s="282" t="s">
        <v>551</v>
      </c>
      <c r="AV81" s="282"/>
      <c r="CR81" s="282" t="s">
        <v>456</v>
      </c>
      <c r="CS81" s="282"/>
      <c r="CT81" s="282"/>
      <c r="CU81" s="282"/>
      <c r="CV81" s="282"/>
      <c r="CW81" s="282"/>
      <c r="CX81" s="282"/>
      <c r="CY81" s="282"/>
      <c r="CZ81" s="282"/>
      <c r="DA81" s="282"/>
      <c r="DB81" s="282"/>
      <c r="DC81" s="282"/>
      <c r="DD81" s="282"/>
      <c r="DE81" s="282"/>
      <c r="DF81" s="282"/>
      <c r="DG81" s="282"/>
      <c r="DH81" s="282"/>
      <c r="DI81" s="282"/>
      <c r="DJ81" s="282"/>
      <c r="DK81" s="282"/>
      <c r="DL81" s="282"/>
      <c r="DM81" s="282"/>
      <c r="DN81" s="282"/>
      <c r="DO81" s="282"/>
      <c r="DP81" s="282"/>
      <c r="DQ81" s="282"/>
      <c r="DR81" s="282"/>
      <c r="DS81" s="282"/>
      <c r="DT81" s="282"/>
      <c r="DU81" s="256"/>
    </row>
    <row r="82" spans="47:125" ht="15" customHeight="1">
      <c r="AU82" s="282" t="s">
        <v>553</v>
      </c>
      <c r="AV82" s="282"/>
      <c r="CR82" s="282" t="s">
        <v>459</v>
      </c>
      <c r="CS82" s="282"/>
      <c r="CT82" s="282"/>
      <c r="CU82" s="282"/>
      <c r="CV82" s="282"/>
      <c r="CW82" s="282"/>
      <c r="CX82" s="282"/>
      <c r="CY82" s="282"/>
      <c r="CZ82" s="282"/>
      <c r="DA82" s="282"/>
      <c r="DB82" s="282"/>
      <c r="DC82" s="282"/>
      <c r="DD82" s="282"/>
      <c r="DE82" s="282"/>
      <c r="DF82" s="282"/>
      <c r="DG82" s="282"/>
      <c r="DH82" s="282"/>
      <c r="DI82" s="282"/>
      <c r="DJ82" s="282"/>
      <c r="DK82" s="282"/>
      <c r="DL82" s="282"/>
      <c r="DM82" s="282"/>
      <c r="DN82" s="282"/>
      <c r="DO82" s="282"/>
      <c r="DP82" s="282"/>
      <c r="DQ82" s="282"/>
      <c r="DR82" s="282"/>
      <c r="DS82" s="282"/>
      <c r="DT82" s="282"/>
      <c r="DU82" s="256"/>
    </row>
    <row r="83" spans="47:125" ht="15" customHeight="1">
      <c r="AU83" s="282" t="s">
        <v>554</v>
      </c>
      <c r="AV83" s="282"/>
      <c r="CR83" s="282" t="s">
        <v>462</v>
      </c>
      <c r="CS83" s="282"/>
      <c r="CT83" s="282"/>
      <c r="CU83" s="282"/>
      <c r="CV83" s="282"/>
      <c r="CW83" s="282"/>
      <c r="CX83" s="282"/>
      <c r="CY83" s="282"/>
      <c r="CZ83" s="282"/>
      <c r="DA83" s="282"/>
      <c r="DB83" s="282"/>
      <c r="DC83" s="282"/>
      <c r="DD83" s="282"/>
      <c r="DE83" s="282"/>
      <c r="DF83" s="282"/>
      <c r="DG83" s="282"/>
      <c r="DH83" s="282"/>
      <c r="DI83" s="282"/>
      <c r="DJ83" s="282"/>
      <c r="DK83" s="282"/>
      <c r="DL83" s="282"/>
      <c r="DM83" s="282"/>
      <c r="DN83" s="282"/>
      <c r="DO83" s="282"/>
      <c r="DP83" s="282"/>
      <c r="DQ83" s="282"/>
      <c r="DR83" s="282"/>
      <c r="DS83" s="282"/>
      <c r="DT83" s="282"/>
      <c r="DU83" s="256"/>
    </row>
    <row r="84" spans="47:125" ht="15" customHeight="1">
      <c r="AU84" s="326" t="s">
        <v>555</v>
      </c>
      <c r="AV84" s="326"/>
      <c r="CR84" s="282"/>
      <c r="CS84" s="282"/>
      <c r="CT84" s="282"/>
      <c r="CU84" s="282"/>
      <c r="CV84" s="282"/>
      <c r="CW84" s="282"/>
      <c r="CX84" s="282"/>
      <c r="CY84" s="282"/>
      <c r="CZ84" s="282"/>
      <c r="DA84" s="282"/>
      <c r="DB84" s="282"/>
      <c r="DC84" s="282"/>
      <c r="DD84" s="282"/>
      <c r="DE84" s="282"/>
      <c r="DF84" s="282"/>
      <c r="DG84" s="282"/>
      <c r="DH84" s="282"/>
      <c r="DI84" s="282"/>
      <c r="DJ84" s="282"/>
      <c r="DK84" s="282"/>
      <c r="DL84" s="282"/>
      <c r="DM84" s="282"/>
      <c r="DN84" s="282"/>
      <c r="DO84" s="282"/>
      <c r="DP84" s="282"/>
      <c r="DQ84" s="282"/>
      <c r="DR84" s="282"/>
      <c r="DS84" s="282"/>
      <c r="DT84" s="282"/>
      <c r="DU84" s="256"/>
    </row>
    <row r="85" spans="47:125" ht="15" customHeight="1">
      <c r="AU85" s="282"/>
      <c r="AV85" s="282"/>
      <c r="CR85" s="282" t="s">
        <v>467</v>
      </c>
      <c r="CS85" s="282"/>
      <c r="CT85" s="282"/>
      <c r="CU85" s="282"/>
      <c r="CV85" s="282"/>
      <c r="CW85" s="282"/>
      <c r="CX85" s="282"/>
      <c r="CY85" s="282"/>
      <c r="CZ85" s="282"/>
      <c r="DA85" s="282"/>
      <c r="DB85" s="282"/>
      <c r="DC85" s="282"/>
      <c r="DD85" s="282"/>
      <c r="DE85" s="282"/>
      <c r="DF85" s="282"/>
      <c r="DG85" s="282"/>
      <c r="DH85" s="282"/>
      <c r="DI85" s="282"/>
      <c r="DJ85" s="282"/>
      <c r="DK85" s="282"/>
      <c r="DL85" s="282"/>
      <c r="DM85" s="282"/>
      <c r="DN85" s="282"/>
      <c r="DO85" s="282"/>
      <c r="DP85" s="282"/>
      <c r="DQ85" s="282"/>
      <c r="DR85" s="282"/>
      <c r="DS85" s="282"/>
      <c r="DT85" s="282"/>
      <c r="DU85" s="256"/>
    </row>
    <row r="86" spans="47:125" ht="15" customHeight="1">
      <c r="AU86" s="282"/>
      <c r="AV86" s="282"/>
      <c r="CR86" s="282"/>
      <c r="CS86" s="282"/>
      <c r="CT86" s="282"/>
      <c r="CU86" s="282"/>
      <c r="CV86" s="282"/>
      <c r="CW86" s="282"/>
      <c r="CX86" s="282"/>
      <c r="CY86" s="282"/>
      <c r="CZ86" s="282"/>
      <c r="DA86" s="282"/>
      <c r="DB86" s="282"/>
      <c r="DC86" s="282"/>
      <c r="DD86" s="282"/>
      <c r="DE86" s="282"/>
      <c r="DF86" s="282"/>
      <c r="DG86" s="282"/>
      <c r="DH86" s="282"/>
      <c r="DI86" s="282"/>
      <c r="DJ86" s="282"/>
      <c r="DK86" s="282"/>
      <c r="DL86" s="282"/>
      <c r="DM86" s="282"/>
      <c r="DN86" s="282"/>
      <c r="DO86" s="282"/>
      <c r="DP86" s="282"/>
      <c r="DQ86" s="282"/>
      <c r="DR86" s="282"/>
      <c r="DS86" s="282"/>
      <c r="DT86" s="282"/>
      <c r="DU86" s="256"/>
    </row>
    <row r="87" spans="47:125" ht="15" customHeight="1">
      <c r="CR87" s="282" t="s">
        <v>471</v>
      </c>
      <c r="CS87" s="282"/>
      <c r="CT87" s="282"/>
      <c r="CU87" s="282"/>
      <c r="CV87" s="282"/>
      <c r="CW87" s="282"/>
      <c r="CX87" s="282"/>
      <c r="CY87" s="282"/>
      <c r="CZ87" s="282"/>
      <c r="DA87" s="282"/>
      <c r="DB87" s="282"/>
      <c r="DC87" s="282"/>
      <c r="DD87" s="282"/>
      <c r="DE87" s="282"/>
      <c r="DF87" s="282"/>
      <c r="DG87" s="282"/>
      <c r="DH87" s="282"/>
      <c r="DI87" s="282"/>
      <c r="DJ87" s="282"/>
      <c r="DK87" s="282"/>
      <c r="DL87" s="282"/>
      <c r="DM87" s="282"/>
      <c r="DN87" s="282"/>
      <c r="DO87" s="282"/>
      <c r="DP87" s="282"/>
      <c r="DQ87" s="282"/>
      <c r="DR87" s="282"/>
      <c r="DS87" s="282"/>
      <c r="DT87" s="282"/>
      <c r="DU87" s="256"/>
    </row>
    <row r="88" spans="47:125" ht="15" customHeight="1">
      <c r="CR88" s="282" t="s">
        <v>473</v>
      </c>
      <c r="CS88" s="282"/>
      <c r="CT88" s="282"/>
      <c r="CU88" s="282"/>
      <c r="CV88" s="282"/>
      <c r="CW88" s="282"/>
      <c r="CX88" s="282"/>
      <c r="CY88" s="282"/>
      <c r="CZ88" s="282"/>
      <c r="DA88" s="282"/>
      <c r="DB88" s="282"/>
      <c r="DC88" s="282"/>
      <c r="DD88" s="282"/>
      <c r="DE88" s="282"/>
      <c r="DF88" s="282"/>
      <c r="DG88" s="282"/>
      <c r="DH88" s="282"/>
      <c r="DI88" s="282"/>
      <c r="DJ88" s="282"/>
      <c r="DK88" s="282"/>
      <c r="DL88" s="282"/>
      <c r="DM88" s="282"/>
      <c r="DN88" s="282"/>
      <c r="DO88" s="282"/>
      <c r="DP88" s="282"/>
      <c r="DQ88" s="282"/>
      <c r="DR88" s="282"/>
      <c r="DS88" s="282"/>
      <c r="DT88" s="282"/>
      <c r="DU88" s="256"/>
    </row>
    <row r="89" spans="47:125" ht="15" customHeight="1">
      <c r="CR89" s="282"/>
      <c r="CS89" s="282"/>
      <c r="CT89" s="282"/>
      <c r="CU89" s="282"/>
      <c r="CV89" s="282"/>
      <c r="CW89" s="282"/>
      <c r="CX89" s="282"/>
      <c r="CY89" s="282"/>
      <c r="CZ89" s="282"/>
      <c r="DA89" s="282"/>
      <c r="DB89" s="282"/>
      <c r="DC89" s="282"/>
      <c r="DD89" s="282"/>
      <c r="DE89" s="282"/>
      <c r="DF89" s="282"/>
      <c r="DG89" s="282"/>
      <c r="DH89" s="282"/>
      <c r="DI89" s="282"/>
      <c r="DJ89" s="282"/>
      <c r="DK89" s="282"/>
      <c r="DL89" s="282"/>
      <c r="DM89" s="282"/>
      <c r="DN89" s="282"/>
      <c r="DO89" s="282"/>
      <c r="DP89" s="282"/>
      <c r="DQ89" s="282"/>
      <c r="DR89" s="282"/>
      <c r="DS89" s="282"/>
      <c r="DT89" s="282"/>
      <c r="DU89" s="256"/>
    </row>
    <row r="90" spans="47:125" ht="15" customHeight="1">
      <c r="CR90" s="282" t="s">
        <v>478</v>
      </c>
      <c r="CS90" s="282"/>
      <c r="CT90" s="282"/>
      <c r="CU90" s="282"/>
      <c r="CV90" s="282"/>
      <c r="CW90" s="282"/>
      <c r="CX90" s="282"/>
      <c r="CY90" s="282"/>
      <c r="CZ90" s="282"/>
      <c r="DA90" s="282"/>
      <c r="DB90" s="282"/>
      <c r="DC90" s="282"/>
      <c r="DD90" s="282"/>
      <c r="DE90" s="282"/>
      <c r="DF90" s="282"/>
      <c r="DG90" s="282"/>
      <c r="DH90" s="282"/>
      <c r="DI90" s="282"/>
      <c r="DJ90" s="282"/>
      <c r="DK90" s="282"/>
      <c r="DL90" s="282"/>
      <c r="DM90" s="282"/>
      <c r="DN90" s="282"/>
      <c r="DO90" s="282"/>
      <c r="DP90" s="282"/>
      <c r="DQ90" s="282"/>
      <c r="DR90" s="282"/>
      <c r="DS90" s="282"/>
      <c r="DT90" s="282"/>
      <c r="DU90" s="256"/>
    </row>
    <row r="91" spans="47:125" ht="15" customHeight="1">
      <c r="CR91" s="282" t="s">
        <v>558</v>
      </c>
      <c r="CS91" s="282"/>
      <c r="CT91" s="282"/>
      <c r="CU91" s="282"/>
      <c r="CV91" s="282"/>
      <c r="CW91" s="282"/>
      <c r="CX91" s="282"/>
      <c r="CY91" s="282"/>
      <c r="CZ91" s="282"/>
      <c r="DA91" s="282"/>
      <c r="DB91" s="282"/>
      <c r="DC91" s="282"/>
      <c r="DD91" s="282"/>
      <c r="DE91" s="282"/>
      <c r="DF91" s="282"/>
      <c r="DG91" s="282"/>
      <c r="DH91" s="282"/>
      <c r="DI91" s="282"/>
      <c r="DJ91" s="282"/>
      <c r="DK91" s="282"/>
      <c r="DL91" s="282"/>
      <c r="DM91" s="282"/>
      <c r="DN91" s="282"/>
      <c r="DO91" s="282"/>
      <c r="DP91" s="282"/>
      <c r="DQ91" s="282"/>
      <c r="DR91" s="282"/>
      <c r="DS91" s="282"/>
      <c r="DT91" s="282"/>
      <c r="DU91" s="256"/>
    </row>
    <row r="92" spans="47:125" ht="15" customHeight="1">
      <c r="CR92" s="282" t="s">
        <v>559</v>
      </c>
      <c r="CS92" s="282"/>
      <c r="CT92" s="282"/>
      <c r="CU92" s="282"/>
      <c r="CV92" s="282"/>
      <c r="CW92" s="282"/>
      <c r="CX92" s="282"/>
      <c r="CY92" s="282"/>
      <c r="CZ92" s="282"/>
      <c r="DA92" s="282"/>
      <c r="DB92" s="282"/>
      <c r="DC92" s="282"/>
      <c r="DD92" s="282"/>
      <c r="DE92" s="282"/>
      <c r="DF92" s="282"/>
      <c r="DG92" s="282"/>
      <c r="DH92" s="282"/>
      <c r="DI92" s="282"/>
      <c r="DJ92" s="282"/>
      <c r="DK92" s="282"/>
      <c r="DL92" s="282"/>
      <c r="DM92" s="282"/>
      <c r="DN92" s="282"/>
      <c r="DO92" s="282"/>
      <c r="DP92" s="282"/>
      <c r="DQ92" s="282"/>
      <c r="DR92" s="282"/>
      <c r="DS92" s="282"/>
      <c r="DT92" s="282"/>
      <c r="DU92" s="256"/>
    </row>
    <row r="93" spans="47:125" ht="15" customHeight="1">
      <c r="CR93" s="282" t="s">
        <v>560</v>
      </c>
      <c r="CS93" s="282"/>
      <c r="CT93" s="282"/>
      <c r="CU93" s="282"/>
      <c r="CV93" s="282"/>
      <c r="CW93" s="282"/>
      <c r="CX93" s="282"/>
      <c r="CY93" s="282"/>
      <c r="CZ93" s="282"/>
      <c r="DA93" s="282"/>
      <c r="DB93" s="282"/>
      <c r="DC93" s="282"/>
      <c r="DD93" s="282"/>
      <c r="DE93" s="282"/>
      <c r="DF93" s="282"/>
      <c r="DG93" s="282"/>
      <c r="DH93" s="282"/>
      <c r="DI93" s="282"/>
      <c r="DJ93" s="282"/>
      <c r="DK93" s="282"/>
      <c r="DL93" s="282"/>
      <c r="DM93" s="282"/>
      <c r="DN93" s="282"/>
      <c r="DO93" s="282"/>
      <c r="DP93" s="282"/>
      <c r="DQ93" s="282"/>
      <c r="DR93" s="282"/>
      <c r="DS93" s="282"/>
      <c r="DT93" s="282"/>
      <c r="DU93" s="256"/>
    </row>
    <row r="94" spans="47:125" ht="15" customHeight="1">
      <c r="CR94" s="282" t="s">
        <v>561</v>
      </c>
      <c r="CS94" s="282"/>
      <c r="CT94" s="282"/>
      <c r="CU94" s="282"/>
      <c r="CV94" s="282"/>
      <c r="CW94" s="282"/>
      <c r="CX94" s="282"/>
      <c r="CY94" s="282"/>
      <c r="CZ94" s="282"/>
      <c r="DA94" s="282"/>
      <c r="DB94" s="282"/>
      <c r="DC94" s="282"/>
      <c r="DD94" s="282"/>
      <c r="DE94" s="282"/>
      <c r="DF94" s="282"/>
      <c r="DG94" s="282"/>
      <c r="DH94" s="282"/>
      <c r="DI94" s="282"/>
      <c r="DJ94" s="282"/>
      <c r="DK94" s="282"/>
      <c r="DL94" s="282"/>
      <c r="DM94" s="282"/>
      <c r="DN94" s="282"/>
      <c r="DO94" s="282"/>
      <c r="DP94" s="282"/>
      <c r="DQ94" s="282"/>
      <c r="DR94" s="282"/>
      <c r="DS94" s="282"/>
      <c r="DT94" s="282"/>
      <c r="DU94" s="256"/>
    </row>
    <row r="95" spans="47:125" ht="15" customHeight="1">
      <c r="CR95" s="282" t="s">
        <v>562</v>
      </c>
      <c r="CS95" s="282"/>
      <c r="CT95" s="282"/>
      <c r="CU95" s="282"/>
      <c r="CV95" s="282"/>
      <c r="CW95" s="282"/>
      <c r="CX95" s="282"/>
      <c r="CY95" s="282"/>
      <c r="CZ95" s="282"/>
      <c r="DA95" s="282"/>
      <c r="DB95" s="282"/>
      <c r="DC95" s="282"/>
      <c r="DD95" s="282"/>
      <c r="DE95" s="282"/>
      <c r="DF95" s="282"/>
      <c r="DG95" s="282"/>
      <c r="DH95" s="282"/>
      <c r="DI95" s="282"/>
      <c r="DJ95" s="282"/>
      <c r="DK95" s="282"/>
      <c r="DL95" s="282"/>
      <c r="DM95" s="282"/>
      <c r="DN95" s="282"/>
      <c r="DO95" s="282"/>
      <c r="DP95" s="282"/>
      <c r="DQ95" s="282"/>
      <c r="DR95" s="282"/>
      <c r="DS95" s="282"/>
      <c r="DT95" s="282"/>
      <c r="DU95" s="256"/>
    </row>
    <row r="96" spans="47:125" ht="15" customHeight="1">
      <c r="CR96" s="282" t="s">
        <v>563</v>
      </c>
      <c r="CS96" s="282"/>
      <c r="CT96" s="282"/>
      <c r="CU96" s="282"/>
      <c r="CV96" s="282"/>
      <c r="CW96" s="282"/>
      <c r="CX96" s="282"/>
      <c r="CY96" s="282"/>
      <c r="CZ96" s="282"/>
      <c r="DA96" s="282"/>
      <c r="DB96" s="282"/>
      <c r="DC96" s="282"/>
      <c r="DD96" s="282"/>
      <c r="DE96" s="282"/>
      <c r="DF96" s="282"/>
      <c r="DG96" s="282"/>
      <c r="DH96" s="282"/>
      <c r="DI96" s="282"/>
      <c r="DJ96" s="282"/>
      <c r="DK96" s="282"/>
      <c r="DL96" s="282"/>
      <c r="DM96" s="282"/>
      <c r="DN96" s="282"/>
      <c r="DO96" s="282"/>
      <c r="DP96" s="282"/>
      <c r="DQ96" s="282"/>
      <c r="DR96" s="282"/>
      <c r="DS96" s="282"/>
      <c r="DT96" s="282"/>
      <c r="DU96" s="256"/>
    </row>
    <row r="97" spans="96:125" ht="15" customHeight="1">
      <c r="CR97" s="282" t="s">
        <v>564</v>
      </c>
      <c r="CS97" s="282"/>
      <c r="CT97" s="282"/>
      <c r="CU97" s="282"/>
      <c r="CV97" s="282"/>
      <c r="CW97" s="282"/>
      <c r="CX97" s="282"/>
      <c r="CY97" s="282"/>
      <c r="CZ97" s="282"/>
      <c r="DA97" s="282"/>
      <c r="DB97" s="282"/>
      <c r="DC97" s="282"/>
      <c r="DD97" s="282"/>
      <c r="DE97" s="282"/>
      <c r="DF97" s="282"/>
      <c r="DG97" s="282"/>
      <c r="DH97" s="282"/>
      <c r="DI97" s="282"/>
      <c r="DJ97" s="282"/>
      <c r="DK97" s="282"/>
      <c r="DL97" s="282"/>
      <c r="DM97" s="282"/>
      <c r="DN97" s="282"/>
      <c r="DO97" s="282"/>
      <c r="DP97" s="282"/>
      <c r="DQ97" s="282"/>
      <c r="DR97" s="282"/>
      <c r="DS97" s="282"/>
      <c r="DT97" s="282"/>
      <c r="DU97" s="256"/>
    </row>
    <row r="98" spans="96:125" ht="15" customHeight="1">
      <c r="CR98" s="282" t="s">
        <v>565</v>
      </c>
      <c r="CS98" s="282"/>
      <c r="CT98" s="282"/>
      <c r="CU98" s="282"/>
      <c r="CV98" s="282"/>
      <c r="CW98" s="282"/>
      <c r="CX98" s="282"/>
      <c r="CY98" s="282"/>
      <c r="CZ98" s="282"/>
      <c r="DA98" s="282"/>
      <c r="DB98" s="282"/>
      <c r="DC98" s="282"/>
      <c r="DD98" s="282"/>
      <c r="DE98" s="282"/>
      <c r="DF98" s="282"/>
      <c r="DG98" s="282"/>
      <c r="DH98" s="282"/>
      <c r="DI98" s="282"/>
      <c r="DJ98" s="282"/>
      <c r="DK98" s="282"/>
      <c r="DL98" s="282"/>
      <c r="DM98" s="282"/>
      <c r="DN98" s="282"/>
      <c r="DO98" s="282"/>
      <c r="DP98" s="282"/>
      <c r="DQ98" s="282"/>
      <c r="DR98" s="282"/>
      <c r="DS98" s="282"/>
      <c r="DT98" s="282"/>
      <c r="DU98" s="256"/>
    </row>
    <row r="99" spans="96:125" ht="15" customHeight="1">
      <c r="CR99" s="282" t="s">
        <v>566</v>
      </c>
      <c r="CS99" s="282"/>
      <c r="CT99" s="282"/>
      <c r="CU99" s="282"/>
      <c r="CV99" s="282"/>
      <c r="CW99" s="282"/>
      <c r="CX99" s="282"/>
      <c r="CY99" s="282"/>
      <c r="CZ99" s="282"/>
      <c r="DA99" s="282"/>
      <c r="DB99" s="282"/>
      <c r="DC99" s="282"/>
      <c r="DD99" s="282"/>
      <c r="DE99" s="282"/>
      <c r="DF99" s="282"/>
      <c r="DG99" s="282"/>
      <c r="DH99" s="282"/>
      <c r="DI99" s="282"/>
      <c r="DJ99" s="282"/>
      <c r="DK99" s="282"/>
      <c r="DL99" s="282"/>
      <c r="DM99" s="282"/>
      <c r="DN99" s="282"/>
      <c r="DO99" s="282"/>
      <c r="DP99" s="282"/>
      <c r="DQ99" s="282"/>
      <c r="DR99" s="282"/>
      <c r="DS99" s="282"/>
      <c r="DT99" s="282"/>
      <c r="DU99" s="256"/>
    </row>
    <row r="100" spans="96:125" ht="15" customHeight="1">
      <c r="CR100" s="282" t="s">
        <v>567</v>
      </c>
      <c r="CS100" s="282"/>
      <c r="CT100" s="282"/>
      <c r="CU100" s="282"/>
      <c r="CV100" s="282"/>
      <c r="CW100" s="282"/>
      <c r="CX100" s="282"/>
      <c r="CY100" s="282"/>
      <c r="CZ100" s="282"/>
      <c r="DA100" s="282"/>
      <c r="DB100" s="282"/>
      <c r="DC100" s="282"/>
      <c r="DD100" s="282"/>
      <c r="DE100" s="282"/>
      <c r="DF100" s="282"/>
      <c r="DG100" s="282"/>
      <c r="DH100" s="282"/>
      <c r="DI100" s="282"/>
      <c r="DJ100" s="282"/>
      <c r="DK100" s="282"/>
      <c r="DL100" s="282"/>
      <c r="DM100" s="282"/>
      <c r="DN100" s="282"/>
      <c r="DO100" s="282"/>
      <c r="DP100" s="282"/>
      <c r="DQ100" s="282"/>
      <c r="DR100" s="282"/>
      <c r="DS100" s="282"/>
      <c r="DT100" s="282"/>
      <c r="DU100" s="256"/>
    </row>
    <row r="101" spans="96:125" ht="15" customHeight="1">
      <c r="CR101" s="282" t="s">
        <v>568</v>
      </c>
      <c r="CS101" s="282"/>
      <c r="CT101" s="282"/>
      <c r="CU101" s="282"/>
      <c r="CV101" s="282"/>
      <c r="CW101" s="282"/>
      <c r="CX101" s="282"/>
      <c r="CY101" s="282"/>
      <c r="CZ101" s="282"/>
      <c r="DA101" s="282"/>
      <c r="DB101" s="282"/>
      <c r="DC101" s="282"/>
      <c r="DD101" s="282"/>
      <c r="DE101" s="282"/>
      <c r="DF101" s="282"/>
      <c r="DG101" s="282"/>
      <c r="DH101" s="282"/>
      <c r="DI101" s="282"/>
      <c r="DJ101" s="282"/>
      <c r="DK101" s="282"/>
      <c r="DL101" s="282"/>
      <c r="DM101" s="282"/>
      <c r="DN101" s="282"/>
      <c r="DO101" s="282"/>
      <c r="DP101" s="282"/>
      <c r="DQ101" s="282"/>
      <c r="DR101" s="282"/>
      <c r="DS101" s="282"/>
      <c r="DT101" s="282"/>
      <c r="DU101" s="256"/>
    </row>
    <row r="102" spans="96:125" ht="15" customHeight="1">
      <c r="CR102" s="282" t="s">
        <v>569</v>
      </c>
      <c r="CS102" s="282"/>
      <c r="CT102" s="282"/>
      <c r="CU102" s="282"/>
      <c r="CV102" s="282"/>
      <c r="CW102" s="282"/>
      <c r="CX102" s="282"/>
      <c r="CY102" s="282"/>
      <c r="CZ102" s="282"/>
      <c r="DA102" s="282"/>
      <c r="DB102" s="282"/>
      <c r="DC102" s="282"/>
      <c r="DD102" s="282"/>
      <c r="DE102" s="282"/>
      <c r="DF102" s="282"/>
      <c r="DG102" s="282"/>
      <c r="DH102" s="282"/>
      <c r="DI102" s="282"/>
      <c r="DJ102" s="282"/>
      <c r="DK102" s="282"/>
      <c r="DL102" s="282"/>
      <c r="DM102" s="282"/>
      <c r="DN102" s="282"/>
      <c r="DO102" s="282"/>
      <c r="DP102" s="282"/>
      <c r="DQ102" s="282"/>
      <c r="DR102" s="282"/>
      <c r="DS102" s="282"/>
      <c r="DT102" s="282"/>
      <c r="DU102" s="256"/>
    </row>
    <row r="103" spans="96:125" ht="15" customHeight="1">
      <c r="CR103" s="282" t="s">
        <v>570</v>
      </c>
      <c r="CS103" s="282"/>
      <c r="CT103" s="282"/>
      <c r="CU103" s="282"/>
      <c r="CV103" s="282"/>
      <c r="CW103" s="282"/>
      <c r="CX103" s="282"/>
      <c r="CY103" s="282"/>
      <c r="CZ103" s="282"/>
      <c r="DA103" s="282"/>
      <c r="DB103" s="282"/>
      <c r="DC103" s="282"/>
      <c r="DD103" s="282"/>
      <c r="DE103" s="282"/>
      <c r="DF103" s="282"/>
      <c r="DG103" s="282"/>
      <c r="DH103" s="282"/>
      <c r="DI103" s="282"/>
      <c r="DJ103" s="282"/>
      <c r="DK103" s="282"/>
      <c r="DL103" s="282"/>
      <c r="DM103" s="282"/>
      <c r="DN103" s="282"/>
      <c r="DO103" s="282"/>
      <c r="DP103" s="282"/>
      <c r="DQ103" s="282"/>
      <c r="DR103" s="282"/>
      <c r="DS103" s="282"/>
      <c r="DT103" s="282"/>
      <c r="DU103" s="256"/>
    </row>
    <row r="104" spans="96:125" ht="15" customHeight="1">
      <c r="CR104" s="282" t="s">
        <v>571</v>
      </c>
      <c r="CS104" s="282"/>
      <c r="CT104" s="282"/>
      <c r="CU104" s="282"/>
      <c r="CV104" s="282"/>
      <c r="CW104" s="282"/>
      <c r="CX104" s="282"/>
      <c r="CY104" s="282"/>
      <c r="CZ104" s="282"/>
      <c r="DA104" s="282"/>
      <c r="DB104" s="282"/>
      <c r="DC104" s="282"/>
      <c r="DD104" s="282"/>
      <c r="DE104" s="282"/>
      <c r="DF104" s="282"/>
      <c r="DG104" s="282"/>
      <c r="DH104" s="282"/>
      <c r="DI104" s="282"/>
      <c r="DJ104" s="282"/>
      <c r="DK104" s="282"/>
      <c r="DL104" s="282"/>
      <c r="DM104" s="282"/>
      <c r="DN104" s="282"/>
      <c r="DO104" s="282"/>
      <c r="DP104" s="282"/>
      <c r="DQ104" s="282"/>
      <c r="DR104" s="282"/>
      <c r="DS104" s="282"/>
      <c r="DT104" s="282"/>
      <c r="DU104" s="256"/>
    </row>
    <row r="105" spans="96:125" ht="15" customHeight="1">
      <c r="CR105" s="282" t="s">
        <v>572</v>
      </c>
      <c r="CS105" s="282"/>
      <c r="CT105" s="282"/>
      <c r="CU105" s="282"/>
      <c r="CV105" s="282"/>
      <c r="CW105" s="282"/>
      <c r="CX105" s="282"/>
      <c r="CY105" s="282"/>
      <c r="CZ105" s="282"/>
      <c r="DA105" s="282"/>
      <c r="DB105" s="282"/>
      <c r="DC105" s="282"/>
      <c r="DD105" s="282"/>
      <c r="DE105" s="282"/>
      <c r="DF105" s="282"/>
      <c r="DG105" s="282"/>
      <c r="DH105" s="282"/>
      <c r="DI105" s="282"/>
      <c r="DJ105" s="282"/>
      <c r="DK105" s="282"/>
      <c r="DL105" s="282"/>
      <c r="DM105" s="282"/>
      <c r="DN105" s="282"/>
      <c r="DO105" s="282"/>
      <c r="DP105" s="282"/>
      <c r="DQ105" s="282"/>
      <c r="DR105" s="282"/>
      <c r="DS105" s="282"/>
      <c r="DT105" s="282"/>
      <c r="DU105" s="256"/>
    </row>
    <row r="106" spans="96:125" ht="15" customHeight="1">
      <c r="CR106" s="282" t="s">
        <v>573</v>
      </c>
      <c r="CS106" s="282"/>
      <c r="CT106" s="282"/>
      <c r="CU106" s="282"/>
      <c r="CV106" s="282"/>
      <c r="CW106" s="282"/>
      <c r="CX106" s="282"/>
      <c r="CY106" s="282"/>
      <c r="CZ106" s="282"/>
      <c r="DA106" s="282"/>
      <c r="DB106" s="282"/>
      <c r="DC106" s="282"/>
      <c r="DD106" s="282"/>
      <c r="DE106" s="282"/>
      <c r="DF106" s="282"/>
      <c r="DG106" s="282"/>
      <c r="DH106" s="282"/>
      <c r="DI106" s="282"/>
      <c r="DJ106" s="282"/>
      <c r="DK106" s="282"/>
      <c r="DL106" s="282"/>
      <c r="DM106" s="282"/>
      <c r="DN106" s="282"/>
      <c r="DO106" s="282"/>
      <c r="DP106" s="282"/>
      <c r="DQ106" s="282"/>
      <c r="DR106" s="282"/>
      <c r="DS106" s="282"/>
      <c r="DT106" s="282"/>
      <c r="DU106" s="256"/>
    </row>
    <row r="107" spans="96:125" ht="15" customHeight="1">
      <c r="CR107" s="282" t="s">
        <v>574</v>
      </c>
      <c r="CS107" s="282"/>
      <c r="CT107" s="282"/>
      <c r="CU107" s="282"/>
      <c r="CV107" s="282"/>
      <c r="CW107" s="282"/>
      <c r="CX107" s="282"/>
      <c r="CY107" s="282"/>
      <c r="CZ107" s="282"/>
      <c r="DA107" s="282"/>
      <c r="DB107" s="282"/>
      <c r="DC107" s="282"/>
      <c r="DD107" s="282"/>
      <c r="DE107" s="282"/>
      <c r="DF107" s="282"/>
      <c r="DG107" s="282"/>
      <c r="DH107" s="282"/>
      <c r="DI107" s="282"/>
      <c r="DJ107" s="282"/>
      <c r="DK107" s="282"/>
      <c r="DL107" s="282"/>
      <c r="DM107" s="282"/>
      <c r="DN107" s="282"/>
      <c r="DO107" s="282"/>
      <c r="DP107" s="282"/>
      <c r="DQ107" s="282"/>
      <c r="DR107" s="282"/>
      <c r="DS107" s="282"/>
      <c r="DT107" s="282"/>
      <c r="DU107" s="256"/>
    </row>
    <row r="108" spans="96:125" ht="15" customHeight="1">
      <c r="CR108" s="282" t="s">
        <v>575</v>
      </c>
      <c r="CS108" s="282"/>
      <c r="CT108" s="282"/>
      <c r="CU108" s="282"/>
      <c r="CV108" s="282"/>
      <c r="CW108" s="282"/>
      <c r="CX108" s="282"/>
      <c r="CY108" s="282"/>
      <c r="CZ108" s="282"/>
      <c r="DA108" s="282"/>
      <c r="DB108" s="282"/>
      <c r="DC108" s="282"/>
      <c r="DD108" s="282"/>
      <c r="DE108" s="282"/>
      <c r="DF108" s="282"/>
      <c r="DG108" s="282"/>
      <c r="DH108" s="282"/>
      <c r="DI108" s="282"/>
      <c r="DJ108" s="282"/>
      <c r="DK108" s="282"/>
      <c r="DL108" s="282"/>
      <c r="DM108" s="282"/>
      <c r="DN108" s="282"/>
      <c r="DO108" s="282"/>
      <c r="DP108" s="282"/>
      <c r="DQ108" s="282"/>
      <c r="DR108" s="282"/>
      <c r="DS108" s="282"/>
      <c r="DT108" s="282"/>
      <c r="DU108" s="256"/>
    </row>
    <row r="109" spans="96:125" ht="15" customHeight="1">
      <c r="CR109" s="282" t="s">
        <v>576</v>
      </c>
      <c r="CS109" s="282"/>
      <c r="CT109" s="282"/>
      <c r="CU109" s="282"/>
      <c r="CV109" s="282"/>
      <c r="CW109" s="282"/>
      <c r="CX109" s="282"/>
      <c r="CY109" s="282"/>
      <c r="CZ109" s="282"/>
      <c r="DA109" s="282"/>
      <c r="DB109" s="282"/>
      <c r="DC109" s="282"/>
      <c r="DD109" s="282"/>
      <c r="DE109" s="282"/>
      <c r="DF109" s="282"/>
      <c r="DG109" s="282"/>
      <c r="DH109" s="282"/>
      <c r="DI109" s="282"/>
      <c r="DJ109" s="282"/>
      <c r="DK109" s="282"/>
      <c r="DL109" s="282"/>
      <c r="DM109" s="282"/>
      <c r="DN109" s="282"/>
      <c r="DO109" s="282"/>
      <c r="DP109" s="282"/>
      <c r="DQ109" s="282"/>
      <c r="DR109" s="282"/>
      <c r="DS109" s="282"/>
      <c r="DT109" s="282"/>
      <c r="DU109" s="256"/>
    </row>
    <row r="110" spans="96:125" ht="15" customHeight="1">
      <c r="CR110" s="282" t="s">
        <v>577</v>
      </c>
      <c r="CS110" s="282"/>
      <c r="CT110" s="282"/>
      <c r="CU110" s="282"/>
      <c r="CV110" s="282"/>
      <c r="CW110" s="282"/>
      <c r="CX110" s="282"/>
      <c r="CY110" s="282"/>
      <c r="CZ110" s="282"/>
      <c r="DA110" s="282"/>
      <c r="DB110" s="282"/>
      <c r="DC110" s="282"/>
      <c r="DD110" s="282"/>
      <c r="DE110" s="282"/>
      <c r="DF110" s="282"/>
      <c r="DG110" s="282"/>
      <c r="DH110" s="282"/>
      <c r="DI110" s="282"/>
      <c r="DJ110" s="282"/>
      <c r="DK110" s="282"/>
      <c r="DL110" s="282"/>
      <c r="DM110" s="282"/>
      <c r="DN110" s="282"/>
      <c r="DO110" s="282"/>
      <c r="DP110" s="282"/>
      <c r="DQ110" s="282"/>
      <c r="DR110" s="282"/>
      <c r="DS110" s="282"/>
      <c r="DT110" s="282"/>
      <c r="DU110" s="256"/>
    </row>
    <row r="111" spans="96:125">
      <c r="CR111" s="282"/>
      <c r="CS111" s="282"/>
      <c r="CT111" s="282"/>
      <c r="CU111" s="282"/>
      <c r="CV111" s="282"/>
      <c r="CW111" s="282"/>
      <c r="CX111" s="282"/>
      <c r="CY111" s="282"/>
      <c r="CZ111" s="282"/>
      <c r="DA111" s="282"/>
      <c r="DB111" s="282"/>
      <c r="DC111" s="282"/>
      <c r="DD111" s="282"/>
      <c r="DE111" s="282"/>
      <c r="DF111" s="282"/>
      <c r="DG111" s="282"/>
      <c r="DH111" s="282"/>
      <c r="DI111" s="282"/>
      <c r="DJ111" s="282"/>
      <c r="DK111" s="282"/>
      <c r="DL111" s="282"/>
      <c r="DM111" s="282"/>
      <c r="DN111" s="282"/>
      <c r="DO111" s="282"/>
      <c r="DP111" s="282"/>
      <c r="DQ111" s="282"/>
      <c r="DR111" s="282"/>
      <c r="DS111" s="282"/>
      <c r="DT111" s="282"/>
      <c r="DU111" s="256"/>
    </row>
    <row r="112" spans="96:125">
      <c r="CR112" s="282" t="s">
        <v>551</v>
      </c>
      <c r="CS112" s="282"/>
      <c r="CT112" s="282"/>
      <c r="CU112" s="282"/>
      <c r="CV112" s="282"/>
      <c r="CW112" s="282"/>
      <c r="CX112" s="282"/>
      <c r="CY112" s="282"/>
      <c r="CZ112" s="282"/>
      <c r="DA112" s="282"/>
      <c r="DB112" s="282"/>
      <c r="DC112" s="282"/>
      <c r="DD112" s="282"/>
      <c r="DE112" s="282"/>
      <c r="DF112" s="282"/>
      <c r="DG112" s="282"/>
      <c r="DH112" s="282"/>
      <c r="DI112" s="282"/>
      <c r="DJ112" s="282"/>
      <c r="DK112" s="282"/>
      <c r="DL112" s="282"/>
      <c r="DM112" s="282"/>
      <c r="DN112" s="282"/>
      <c r="DO112" s="282"/>
      <c r="DP112" s="282"/>
      <c r="DQ112" s="282"/>
      <c r="DR112" s="282"/>
      <c r="DS112" s="282"/>
      <c r="DT112" s="282"/>
      <c r="DU112" s="329"/>
    </row>
    <row r="113" spans="96:125">
      <c r="CR113" s="282" t="s">
        <v>553</v>
      </c>
      <c r="CS113" s="282"/>
      <c r="CT113" s="282"/>
      <c r="CU113" s="282"/>
      <c r="CV113" s="282"/>
      <c r="CW113" s="282"/>
      <c r="CX113" s="282"/>
      <c r="CY113" s="282"/>
      <c r="CZ113" s="282"/>
      <c r="DA113" s="282"/>
      <c r="DB113" s="282"/>
      <c r="DC113" s="282"/>
      <c r="DD113" s="282"/>
      <c r="DE113" s="282"/>
      <c r="DF113" s="282"/>
      <c r="DG113" s="282"/>
      <c r="DH113" s="282"/>
      <c r="DI113" s="282"/>
      <c r="DJ113" s="282"/>
      <c r="DK113" s="282"/>
      <c r="DL113" s="282"/>
      <c r="DM113" s="282"/>
      <c r="DN113" s="282"/>
      <c r="DO113" s="282"/>
      <c r="DP113" s="282"/>
      <c r="DQ113" s="282"/>
      <c r="DR113" s="282"/>
      <c r="DS113" s="282"/>
      <c r="DT113" s="282"/>
      <c r="DU113" s="256"/>
    </row>
    <row r="114" spans="96:125">
      <c r="CR114" s="282" t="s">
        <v>554</v>
      </c>
      <c r="CS114" s="282"/>
      <c r="CT114" s="282"/>
      <c r="CU114" s="282"/>
      <c r="CV114" s="282"/>
      <c r="CW114" s="282"/>
      <c r="CX114" s="282"/>
      <c r="CY114" s="282"/>
      <c r="CZ114" s="282"/>
      <c r="DA114" s="282"/>
      <c r="DB114" s="282"/>
      <c r="DC114" s="282"/>
      <c r="DD114" s="282"/>
      <c r="DE114" s="282"/>
      <c r="DF114" s="282"/>
      <c r="DG114" s="282"/>
      <c r="DH114" s="282"/>
      <c r="DI114" s="282"/>
      <c r="DJ114" s="282"/>
      <c r="DK114" s="282"/>
      <c r="DL114" s="282"/>
      <c r="DM114" s="282"/>
      <c r="DN114" s="282"/>
      <c r="DO114" s="282"/>
      <c r="DP114" s="282"/>
      <c r="DQ114" s="282"/>
      <c r="DR114" s="282"/>
      <c r="DS114" s="282"/>
      <c r="DT114" s="282"/>
      <c r="DU114" s="256"/>
    </row>
    <row r="115" spans="96:125">
      <c r="CR115" s="326" t="s">
        <v>555</v>
      </c>
      <c r="CS115" s="326"/>
      <c r="CT115" s="326"/>
      <c r="CU115" s="326"/>
      <c r="CV115" s="326"/>
      <c r="CW115" s="326"/>
      <c r="CX115" s="326"/>
      <c r="CY115" s="326"/>
      <c r="CZ115" s="326"/>
      <c r="DA115" s="326"/>
      <c r="DB115" s="326"/>
      <c r="DC115" s="326"/>
      <c r="DD115" s="326"/>
      <c r="DE115" s="326"/>
      <c r="DF115" s="326"/>
      <c r="DG115" s="326"/>
      <c r="DH115" s="326"/>
      <c r="DI115" s="326"/>
      <c r="DJ115" s="326"/>
      <c r="DK115" s="326"/>
      <c r="DL115" s="326"/>
      <c r="DM115" s="326"/>
      <c r="DN115" s="326"/>
      <c r="DO115" s="326"/>
      <c r="DP115" s="326"/>
      <c r="DQ115" s="326"/>
      <c r="DR115" s="326"/>
      <c r="DS115" s="326"/>
      <c r="DT115" s="326"/>
    </row>
    <row r="116" spans="96:125">
      <c r="CR116" s="282"/>
      <c r="CS116" s="282"/>
      <c r="CT116" s="282"/>
      <c r="CU116" s="282"/>
      <c r="CV116" s="282"/>
      <c r="CW116" s="282"/>
      <c r="CX116" s="282"/>
      <c r="CY116" s="282"/>
      <c r="CZ116" s="282"/>
      <c r="DA116" s="282"/>
      <c r="DB116" s="282"/>
      <c r="DC116" s="282"/>
      <c r="DD116" s="282"/>
      <c r="DE116" s="282"/>
      <c r="DF116" s="282"/>
      <c r="DG116" s="282"/>
      <c r="DH116" s="282"/>
      <c r="DI116" s="282"/>
      <c r="DJ116" s="282"/>
      <c r="DK116" s="282"/>
      <c r="DL116" s="282"/>
      <c r="DM116" s="282"/>
      <c r="DN116" s="282"/>
      <c r="DO116" s="282"/>
      <c r="DP116" s="282"/>
      <c r="DQ116" s="282"/>
      <c r="DR116" s="282"/>
      <c r="DS116" s="282"/>
      <c r="DT116" s="282"/>
    </row>
    <row r="117" spans="96:125">
      <c r="CR117" s="282"/>
      <c r="CS117" s="282"/>
      <c r="CT117" s="282"/>
      <c r="CU117" s="282"/>
      <c r="CV117" s="282"/>
      <c r="CW117" s="282"/>
      <c r="CX117" s="282"/>
      <c r="CY117" s="282"/>
      <c r="CZ117" s="282"/>
      <c r="DA117" s="282"/>
      <c r="DB117" s="282"/>
      <c r="DC117" s="282"/>
      <c r="DD117" s="282"/>
      <c r="DE117" s="282"/>
      <c r="DF117" s="282"/>
      <c r="DG117" s="282"/>
      <c r="DH117" s="282"/>
      <c r="DI117" s="282"/>
      <c r="DJ117" s="282"/>
      <c r="DK117" s="282"/>
      <c r="DL117" s="282"/>
      <c r="DM117" s="282"/>
      <c r="DN117" s="282"/>
      <c r="DO117" s="282"/>
      <c r="DP117" s="282"/>
      <c r="DQ117" s="282"/>
      <c r="DR117" s="282"/>
      <c r="DS117" s="282"/>
      <c r="DT117" s="282"/>
    </row>
  </sheetData>
  <mergeCells count="143">
    <mergeCell ref="CR115:DT115"/>
    <mergeCell ref="CR116:DT116"/>
    <mergeCell ref="CR117:DT117"/>
    <mergeCell ref="CR109:DT109"/>
    <mergeCell ref="CR110:DT110"/>
    <mergeCell ref="CR111:DT111"/>
    <mergeCell ref="CR112:DT112"/>
    <mergeCell ref="CR113:DT113"/>
    <mergeCell ref="CR114:DT114"/>
    <mergeCell ref="CR103:DT103"/>
    <mergeCell ref="CR104:DT104"/>
    <mergeCell ref="CR105:DT105"/>
    <mergeCell ref="CR106:DT106"/>
    <mergeCell ref="CR107:DT107"/>
    <mergeCell ref="CR108:DT108"/>
    <mergeCell ref="CR97:DT97"/>
    <mergeCell ref="CR98:DT98"/>
    <mergeCell ref="CR99:DT99"/>
    <mergeCell ref="CR100:DT100"/>
    <mergeCell ref="CR101:DT101"/>
    <mergeCell ref="CR102:DT102"/>
    <mergeCell ref="CR91:DT91"/>
    <mergeCell ref="CR92:DT92"/>
    <mergeCell ref="CR93:DT93"/>
    <mergeCell ref="CR94:DT94"/>
    <mergeCell ref="CR95:DT95"/>
    <mergeCell ref="CR96:DT96"/>
    <mergeCell ref="AU86:AV86"/>
    <mergeCell ref="CR86:DT86"/>
    <mergeCell ref="CR87:DT87"/>
    <mergeCell ref="CR88:DT88"/>
    <mergeCell ref="CR89:DT89"/>
    <mergeCell ref="CR90:DT90"/>
    <mergeCell ref="AU83:AV83"/>
    <mergeCell ref="CR83:DT83"/>
    <mergeCell ref="AU84:AV84"/>
    <mergeCell ref="CR84:DT84"/>
    <mergeCell ref="AU85:AV85"/>
    <mergeCell ref="CR85:DT85"/>
    <mergeCell ref="AU80:AV80"/>
    <mergeCell ref="CR80:DT80"/>
    <mergeCell ref="AU81:AV81"/>
    <mergeCell ref="CR81:DT81"/>
    <mergeCell ref="AU82:AV82"/>
    <mergeCell ref="CR82:DT82"/>
    <mergeCell ref="AU77:AV77"/>
    <mergeCell ref="CR77:DT77"/>
    <mergeCell ref="AU78:AV78"/>
    <mergeCell ref="CR78:DT78"/>
    <mergeCell ref="AU79:AV79"/>
    <mergeCell ref="CR79:DT79"/>
    <mergeCell ref="AU74:AV74"/>
    <mergeCell ref="CR74:DT74"/>
    <mergeCell ref="AU75:AV75"/>
    <mergeCell ref="CR75:DT75"/>
    <mergeCell ref="AU76:AV76"/>
    <mergeCell ref="CR76:DT76"/>
    <mergeCell ref="AU71:AV71"/>
    <mergeCell ref="CR71:DT71"/>
    <mergeCell ref="AU72:AV72"/>
    <mergeCell ref="CR72:DT72"/>
    <mergeCell ref="AU73:AV73"/>
    <mergeCell ref="CR73:DT73"/>
    <mergeCell ref="AU67:AV67"/>
    <mergeCell ref="BF67:CA67"/>
    <mergeCell ref="AU68:AV68"/>
    <mergeCell ref="AU69:AV69"/>
    <mergeCell ref="AU70:AV70"/>
    <mergeCell ref="CR70:DT70"/>
    <mergeCell ref="AU64:AV64"/>
    <mergeCell ref="BF64:CA64"/>
    <mergeCell ref="AU65:AV65"/>
    <mergeCell ref="BF65:CA65"/>
    <mergeCell ref="AU66:AV66"/>
    <mergeCell ref="BF66:CA66"/>
    <mergeCell ref="AU61:AV61"/>
    <mergeCell ref="BF61:CA61"/>
    <mergeCell ref="AU62:AV62"/>
    <mergeCell ref="BF62:CA62"/>
    <mergeCell ref="AU63:AV63"/>
    <mergeCell ref="BF63:CA63"/>
    <mergeCell ref="AU58:AV58"/>
    <mergeCell ref="BF58:CA58"/>
    <mergeCell ref="AU59:AV59"/>
    <mergeCell ref="BF59:CA59"/>
    <mergeCell ref="AU60:AV60"/>
    <mergeCell ref="BF60:CA60"/>
    <mergeCell ref="AU55:AV55"/>
    <mergeCell ref="BF55:CA55"/>
    <mergeCell ref="AU56:AV56"/>
    <mergeCell ref="BF56:CA56"/>
    <mergeCell ref="AU57:AV57"/>
    <mergeCell ref="BF57:CA57"/>
    <mergeCell ref="BF50:CA50"/>
    <mergeCell ref="BF51:CA51"/>
    <mergeCell ref="BF52:CA52"/>
    <mergeCell ref="BF53:CA53"/>
    <mergeCell ref="AU54:AV54"/>
    <mergeCell ref="BF54:CA54"/>
    <mergeCell ref="BF44:CA44"/>
    <mergeCell ref="BF45:CA45"/>
    <mergeCell ref="BF46:CA46"/>
    <mergeCell ref="BF47:CA47"/>
    <mergeCell ref="BF48:CA48"/>
    <mergeCell ref="BF49:CA49"/>
    <mergeCell ref="BF38:CA38"/>
    <mergeCell ref="BF39:CA39"/>
    <mergeCell ref="BF40:CA40"/>
    <mergeCell ref="BF41:CA41"/>
    <mergeCell ref="BF42:CA42"/>
    <mergeCell ref="BF43:CA43"/>
    <mergeCell ref="BF32:CA32"/>
    <mergeCell ref="BF33:CA33"/>
    <mergeCell ref="BF34:CA34"/>
    <mergeCell ref="BF35:CA35"/>
    <mergeCell ref="BF36:CA36"/>
    <mergeCell ref="BF37:CA37"/>
    <mergeCell ref="BF26:CA26"/>
    <mergeCell ref="BF27:CA27"/>
    <mergeCell ref="BF28:CA28"/>
    <mergeCell ref="BF29:CA29"/>
    <mergeCell ref="BF30:CA30"/>
    <mergeCell ref="BF31:CA31"/>
    <mergeCell ref="BF20:CA20"/>
    <mergeCell ref="BF21:CA21"/>
    <mergeCell ref="BF22:CA22"/>
    <mergeCell ref="BF23:CA23"/>
    <mergeCell ref="BF24:CA24"/>
    <mergeCell ref="BF25:CA25"/>
    <mergeCell ref="CR4:DT4"/>
    <mergeCell ref="BG5:CA5"/>
    <mergeCell ref="CR5:CR6"/>
    <mergeCell ref="CS5:DT5"/>
    <mergeCell ref="V6:W6"/>
    <mergeCell ref="BF19:CA19"/>
    <mergeCell ref="AU3:AV3"/>
    <mergeCell ref="AW3:AW5"/>
    <mergeCell ref="BA3:BA5"/>
    <mergeCell ref="BF3:CA3"/>
    <mergeCell ref="CF3:CF5"/>
    <mergeCell ref="AU4:AU5"/>
    <mergeCell ref="BF4:BF6"/>
    <mergeCell ref="BG4:CA4"/>
  </mergeCells>
  <hyperlinks>
    <hyperlink ref="AU84" r:id="rId1" display="mailto:info@stats.govt.nz"/>
    <hyperlink ref="BF65" r:id="rId2" display="mailto:info@stats.govt.nz"/>
    <hyperlink ref="CR115" r:id="rId3" display="mailto:info@stats.govt.nz"/>
  </hyperlinks>
  <pageMargins left="0.7" right="0.7" top="0.75" bottom="0.75" header="0.3" footer="0.3"/>
  <pageSetup paperSize="9" orientation="portrait" r:id="rId4"/>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EZ292"/>
  <sheetViews>
    <sheetView zoomScale="85" zoomScaleNormal="85" workbookViewId="0">
      <pane xSplit="2" ySplit="2" topLeftCell="C32" activePane="bottomRight" state="frozen"/>
      <selection activeCell="F115" sqref="F115"/>
      <selection pane="topRight" activeCell="F115" sqref="F115"/>
      <selection pane="bottomLeft" activeCell="F115" sqref="F115"/>
      <selection pane="bottomRight" activeCell="R56" sqref="R56"/>
    </sheetView>
  </sheetViews>
  <sheetFormatPr defaultRowHeight="15"/>
  <cols>
    <col min="2" max="2" width="15.7109375" customWidth="1"/>
    <col min="3" max="3" width="10.7109375" bestFit="1" customWidth="1"/>
    <col min="7" max="7" width="14.85546875" customWidth="1"/>
    <col min="8" max="8" width="9.42578125" customWidth="1"/>
    <col min="9" max="9" width="14.85546875" customWidth="1"/>
    <col min="10" max="10" width="9.140625" customWidth="1"/>
    <col min="11" max="11" width="14.85546875" customWidth="1"/>
    <col min="12" max="12" width="12" customWidth="1"/>
    <col min="14" max="14" width="12.28515625" customWidth="1"/>
    <col min="17" max="18" width="11.7109375" bestFit="1" customWidth="1"/>
    <col min="23" max="23" width="11.7109375" bestFit="1" customWidth="1"/>
    <col min="25" max="25" width="10.7109375" bestFit="1" customWidth="1"/>
    <col min="29" max="29" width="12.28515625" customWidth="1"/>
    <col min="33" max="34" width="11" customWidth="1"/>
    <col min="35" max="35" width="3.7109375" customWidth="1"/>
    <col min="36" max="37" width="10.7109375" customWidth="1"/>
    <col min="38" max="39" width="13.140625" customWidth="1"/>
    <col min="40" max="40" width="3.140625" customWidth="1"/>
    <col min="41" max="42" width="10.7109375" customWidth="1"/>
    <col min="43" max="44" width="10" customWidth="1"/>
    <col min="45" max="45" width="2" customWidth="1"/>
    <col min="46" max="46" width="11.7109375" customWidth="1"/>
    <col min="47" max="47" width="12.28515625" customWidth="1"/>
    <col min="49" max="49" width="4.28515625" customWidth="1"/>
    <col min="50" max="52" width="10.7109375" customWidth="1"/>
    <col min="53" max="53" width="9" customWidth="1"/>
    <col min="54" max="54" width="2.5703125" customWidth="1"/>
    <col min="55" max="58" width="12.5703125" customWidth="1"/>
    <col min="59" max="61" width="12" customWidth="1"/>
    <col min="62" max="62" width="9.140625" style="116" customWidth="1"/>
    <col min="63" max="67" width="10.85546875" customWidth="1"/>
    <col min="69" max="71" width="15.85546875" customWidth="1"/>
    <col min="72" max="72" width="13" customWidth="1"/>
    <col min="73" max="73" width="10.7109375" customWidth="1"/>
    <col min="74" max="77" width="14.28515625" customWidth="1"/>
    <col min="78" max="89" width="10.7109375" customWidth="1"/>
    <col min="90" max="93" width="15.140625" customWidth="1"/>
    <col min="94" max="95" width="10.7109375" customWidth="1"/>
    <col min="96" max="96" width="10.140625" customWidth="1"/>
    <col min="97" max="100" width="10.7109375" customWidth="1"/>
    <col min="101" max="101" width="11.140625" customWidth="1"/>
    <col min="102" max="110" width="10.7109375" customWidth="1"/>
    <col min="112" max="119" width="10.85546875" customWidth="1"/>
    <col min="122" max="122" width="19.7109375" customWidth="1"/>
    <col min="123" max="123" width="10.5703125" customWidth="1"/>
    <col min="124" max="124" width="19.7109375" customWidth="1"/>
    <col min="125" max="125" width="17.85546875" customWidth="1"/>
    <col min="126" max="128" width="17.28515625" customWidth="1"/>
    <col min="130" max="133" width="10.85546875" customWidth="1"/>
    <col min="134" max="137" width="13.28515625" customWidth="1"/>
    <col min="138" max="139" width="10.85546875" customWidth="1"/>
    <col min="140" max="142" width="13.7109375" customWidth="1"/>
    <col min="144" max="144" width="12.140625" customWidth="1"/>
    <col min="145" max="146" width="12.28515625" customWidth="1"/>
  </cols>
  <sheetData>
    <row r="1" spans="1:156" ht="72.75" customHeight="1">
      <c r="B1" s="234" t="s">
        <v>578</v>
      </c>
      <c r="C1" s="234"/>
      <c r="D1" s="330" t="s">
        <v>189</v>
      </c>
      <c r="F1" s="234" t="s">
        <v>579</v>
      </c>
      <c r="G1" s="234"/>
      <c r="H1" s="234"/>
      <c r="I1" s="234"/>
      <c r="J1" s="234"/>
      <c r="K1" s="234"/>
      <c r="L1" s="331"/>
      <c r="N1" s="234" t="s">
        <v>580</v>
      </c>
      <c r="O1" s="234"/>
      <c r="P1" s="234"/>
      <c r="Q1" s="234"/>
      <c r="R1" s="234"/>
      <c r="S1" s="234"/>
      <c r="T1" s="331"/>
      <c r="U1" s="331"/>
      <c r="V1" s="234" t="s">
        <v>581</v>
      </c>
      <c r="W1" s="234"/>
      <c r="X1" s="331"/>
      <c r="Y1" s="331"/>
      <c r="Z1" s="331"/>
      <c r="AA1" s="331"/>
      <c r="AB1" s="331"/>
      <c r="AC1" s="234" t="s">
        <v>582</v>
      </c>
      <c r="AD1" s="234"/>
      <c r="AE1" s="234"/>
      <c r="AF1" s="238" t="s">
        <v>114</v>
      </c>
      <c r="AG1" s="238"/>
      <c r="AH1" s="238"/>
      <c r="AJ1" s="234" t="s">
        <v>583</v>
      </c>
      <c r="AK1" s="234"/>
      <c r="AL1" s="234"/>
      <c r="AM1" s="332" t="s">
        <v>115</v>
      </c>
      <c r="AO1" s="234" t="s">
        <v>582</v>
      </c>
      <c r="AP1" s="234"/>
      <c r="AQ1" s="234"/>
      <c r="AR1" s="237" t="s">
        <v>584</v>
      </c>
      <c r="AT1" s="234" t="s">
        <v>585</v>
      </c>
      <c r="AU1" s="234"/>
      <c r="AX1" s="234" t="s">
        <v>586</v>
      </c>
      <c r="AY1" s="234"/>
      <c r="AZ1" s="234"/>
      <c r="BA1" s="234"/>
      <c r="BC1" s="234" t="s">
        <v>587</v>
      </c>
      <c r="BD1" s="234"/>
      <c r="BE1" s="234"/>
      <c r="BF1" s="234"/>
      <c r="BG1" s="238" t="s">
        <v>588</v>
      </c>
      <c r="BH1" s="238"/>
      <c r="BI1" s="238"/>
      <c r="BJ1" s="333" t="s">
        <v>589</v>
      </c>
      <c r="BK1" s="334" t="s">
        <v>590</v>
      </c>
      <c r="BL1" s="334"/>
      <c r="BM1" s="334"/>
      <c r="BN1" s="335"/>
      <c r="BO1" s="335"/>
      <c r="BQ1" t="s">
        <v>591</v>
      </c>
      <c r="BS1" s="336">
        <v>43525</v>
      </c>
      <c r="BU1" s="337" t="s">
        <v>592</v>
      </c>
      <c r="BV1" s="234" t="s">
        <v>593</v>
      </c>
      <c r="BW1" s="234"/>
      <c r="BX1" s="234"/>
      <c r="BY1" s="234"/>
      <c r="BZ1" s="235" t="s">
        <v>594</v>
      </c>
      <c r="CA1" s="235"/>
      <c r="CB1" s="235"/>
      <c r="CD1" s="234" t="s">
        <v>595</v>
      </c>
      <c r="CE1" s="234"/>
      <c r="CF1" s="234"/>
      <c r="CG1" s="234"/>
      <c r="CH1" s="234"/>
      <c r="CI1" s="234"/>
      <c r="CJ1" s="234"/>
      <c r="CL1" s="234" t="s">
        <v>596</v>
      </c>
      <c r="CM1" s="234"/>
      <c r="CN1" s="234"/>
      <c r="CO1" s="331" t="s">
        <v>597</v>
      </c>
      <c r="CP1" s="331"/>
      <c r="CQ1" s="234" t="s">
        <v>598</v>
      </c>
      <c r="CR1" s="234"/>
      <c r="CS1" s="234"/>
      <c r="CT1" s="234"/>
      <c r="CU1" s="234"/>
      <c r="CV1" s="331"/>
      <c r="CW1" s="234" t="s">
        <v>596</v>
      </c>
      <c r="CX1" s="234"/>
      <c r="CY1" s="234"/>
      <c r="CZ1" s="234"/>
      <c r="DA1" s="331"/>
      <c r="DB1" s="331"/>
      <c r="DC1" s="234" t="s">
        <v>592</v>
      </c>
      <c r="DD1" s="234"/>
      <c r="DE1" s="331"/>
      <c r="DF1" s="331"/>
      <c r="DG1" s="331"/>
      <c r="DH1" s="234" t="s">
        <v>599</v>
      </c>
      <c r="DI1" s="234"/>
      <c r="DJ1" s="234"/>
      <c r="DK1" s="234"/>
      <c r="DL1" s="331"/>
      <c r="DM1" s="234" t="s">
        <v>600</v>
      </c>
      <c r="DN1" s="234"/>
      <c r="DO1" s="234"/>
      <c r="DP1" s="331"/>
      <c r="DQ1" s="331"/>
      <c r="DR1" s="331"/>
      <c r="DS1" s="331"/>
      <c r="DT1" s="331"/>
      <c r="DV1" s="338" t="s">
        <v>601</v>
      </c>
      <c r="DW1" s="338" t="s">
        <v>602</v>
      </c>
      <c r="DX1" s="339" t="s">
        <v>603</v>
      </c>
      <c r="DZ1" s="339" t="s">
        <v>604</v>
      </c>
      <c r="ED1" s="187" t="s">
        <v>605</v>
      </c>
      <c r="EE1" s="187"/>
      <c r="EF1" s="187"/>
      <c r="EG1" s="187"/>
      <c r="EJ1" s="234" t="s">
        <v>585</v>
      </c>
      <c r="EK1" s="234"/>
      <c r="EL1" s="234"/>
      <c r="EN1" s="234" t="s">
        <v>586</v>
      </c>
      <c r="EO1" s="234"/>
      <c r="EP1" s="234"/>
      <c r="ER1" s="238" t="s">
        <v>606</v>
      </c>
      <c r="ES1" s="238"/>
      <c r="ET1" s="238" t="s">
        <v>189</v>
      </c>
      <c r="EU1" s="238"/>
      <c r="EV1" s="237"/>
      <c r="EW1" s="238" t="s">
        <v>607</v>
      </c>
      <c r="EX1" s="238"/>
      <c r="EY1" s="238" t="s">
        <v>189</v>
      </c>
      <c r="EZ1" s="238"/>
    </row>
    <row r="2" spans="1:156" ht="64.5" customHeight="1">
      <c r="B2" s="238" t="s">
        <v>114</v>
      </c>
      <c r="C2" s="238"/>
      <c r="F2" s="340"/>
      <c r="G2" s="237" t="s">
        <v>608</v>
      </c>
      <c r="H2" s="237" t="s">
        <v>189</v>
      </c>
      <c r="I2" s="237" t="s">
        <v>609</v>
      </c>
      <c r="J2" s="237" t="s">
        <v>189</v>
      </c>
      <c r="K2" s="237" t="s">
        <v>610</v>
      </c>
      <c r="L2" s="237" t="s">
        <v>189</v>
      </c>
      <c r="N2" s="340"/>
      <c r="O2" s="237" t="s">
        <v>611</v>
      </c>
      <c r="R2" s="341" t="s">
        <v>612</v>
      </c>
      <c r="S2" s="341"/>
      <c r="V2" s="340"/>
      <c r="W2" s="237" t="s">
        <v>3</v>
      </c>
      <c r="X2" s="237"/>
      <c r="Y2" s="341" t="s">
        <v>612</v>
      </c>
      <c r="Z2" s="341"/>
      <c r="AA2" s="237"/>
      <c r="AB2" s="237"/>
      <c r="AD2" s="237" t="s">
        <v>353</v>
      </c>
      <c r="AE2" s="237" t="s">
        <v>448</v>
      </c>
      <c r="AF2" s="237" t="s">
        <v>613</v>
      </c>
      <c r="AG2" s="237" t="s">
        <v>189</v>
      </c>
      <c r="AH2" s="237" t="s">
        <v>589</v>
      </c>
      <c r="AJ2" s="237"/>
      <c r="AK2" s="237" t="s">
        <v>613</v>
      </c>
      <c r="AL2" s="237" t="s">
        <v>189</v>
      </c>
      <c r="AM2" s="237" t="s">
        <v>589</v>
      </c>
      <c r="AO2" s="237"/>
      <c r="AP2" s="237" t="s">
        <v>613</v>
      </c>
      <c r="AQ2" s="237" t="s">
        <v>189</v>
      </c>
      <c r="AR2" s="237" t="s">
        <v>589</v>
      </c>
      <c r="AT2" s="238" t="s">
        <v>114</v>
      </c>
      <c r="AU2" s="238"/>
      <c r="AX2" s="238" t="s">
        <v>114</v>
      </c>
      <c r="AY2" s="238"/>
      <c r="AZ2" s="332" t="s">
        <v>614</v>
      </c>
      <c r="BA2" s="332" t="s">
        <v>588</v>
      </c>
      <c r="BC2" s="342" t="s">
        <v>114</v>
      </c>
      <c r="BD2" s="237" t="s">
        <v>615</v>
      </c>
      <c r="BE2" s="237" t="s">
        <v>616</v>
      </c>
      <c r="BF2" s="237" t="s">
        <v>617</v>
      </c>
      <c r="BG2" s="237" t="s">
        <v>615</v>
      </c>
      <c r="BH2" s="237" t="s">
        <v>616</v>
      </c>
      <c r="BI2" s="237" t="s">
        <v>617</v>
      </c>
      <c r="BJ2" s="343"/>
      <c r="BK2" s="335"/>
      <c r="BL2" s="335" t="s">
        <v>618</v>
      </c>
      <c r="BM2" s="237" t="s">
        <v>619</v>
      </c>
      <c r="BQ2" s="344" t="s">
        <v>114</v>
      </c>
      <c r="BR2" s="237" t="s">
        <v>115</v>
      </c>
      <c r="BS2" s="237" t="s">
        <v>620</v>
      </c>
      <c r="BV2" s="345" t="s">
        <v>615</v>
      </c>
      <c r="BW2" s="342" t="s">
        <v>621</v>
      </c>
      <c r="BX2" s="342" t="s">
        <v>114</v>
      </c>
      <c r="BY2" s="342" t="s">
        <v>622</v>
      </c>
      <c r="BZ2" s="342" t="s">
        <v>621</v>
      </c>
      <c r="CA2" s="342" t="s">
        <v>114</v>
      </c>
      <c r="CB2" s="342" t="s">
        <v>622</v>
      </c>
      <c r="CC2" s="346"/>
      <c r="CD2" s="345" t="s">
        <v>615</v>
      </c>
      <c r="CE2" s="237" t="s">
        <v>114</v>
      </c>
      <c r="CF2" s="237" t="s">
        <v>189</v>
      </c>
      <c r="CG2" s="237" t="s">
        <v>589</v>
      </c>
      <c r="CH2" s="237" t="s">
        <v>622</v>
      </c>
      <c r="CI2" s="237" t="s">
        <v>189</v>
      </c>
      <c r="CJ2" s="237" t="s">
        <v>589</v>
      </c>
      <c r="CK2" s="346"/>
      <c r="CL2" s="345" t="s">
        <v>615</v>
      </c>
      <c r="CM2" s="342" t="s">
        <v>621</v>
      </c>
      <c r="CN2" s="342" t="s">
        <v>114</v>
      </c>
      <c r="CO2" s="342" t="s">
        <v>114</v>
      </c>
      <c r="CP2" s="237"/>
      <c r="CQ2" s="236"/>
      <c r="CR2" s="238" t="s">
        <v>623</v>
      </c>
      <c r="CS2" s="238"/>
      <c r="CT2" s="238" t="s">
        <v>622</v>
      </c>
      <c r="CU2" s="238"/>
      <c r="CV2" s="237"/>
      <c r="CW2" s="236"/>
      <c r="CX2" s="237" t="s">
        <v>615</v>
      </c>
      <c r="CY2" s="237" t="s">
        <v>616</v>
      </c>
      <c r="CZ2" s="237" t="s">
        <v>617</v>
      </c>
      <c r="DA2" s="237"/>
      <c r="DB2" s="237"/>
      <c r="DC2" s="237" t="s">
        <v>3</v>
      </c>
      <c r="DD2" s="237" t="s">
        <v>624</v>
      </c>
      <c r="DE2" s="237" t="s">
        <v>3</v>
      </c>
      <c r="DF2" s="237" t="s">
        <v>624</v>
      </c>
      <c r="DG2" s="237" t="s">
        <v>625</v>
      </c>
      <c r="DH2" s="236"/>
      <c r="DI2" s="237" t="s">
        <v>626</v>
      </c>
      <c r="DJ2" s="237" t="s">
        <v>627</v>
      </c>
      <c r="DK2" s="237" t="s">
        <v>628</v>
      </c>
      <c r="DL2" s="237"/>
      <c r="DM2" s="238" t="s">
        <v>629</v>
      </c>
      <c r="DN2" s="238"/>
      <c r="DO2" s="238"/>
      <c r="DP2" s="238" t="s">
        <v>614</v>
      </c>
      <c r="DQ2" s="238"/>
      <c r="DR2" s="238" t="s">
        <v>630</v>
      </c>
      <c r="DS2" s="238"/>
      <c r="DT2" s="237"/>
      <c r="DV2" s="347" t="s">
        <v>631</v>
      </c>
      <c r="DW2" s="348" t="s">
        <v>631</v>
      </c>
      <c r="DX2" s="349" t="s">
        <v>631</v>
      </c>
      <c r="DZ2" s="349" t="s">
        <v>631</v>
      </c>
      <c r="ED2" s="255" t="s">
        <v>632</v>
      </c>
      <c r="EE2" s="255" t="s">
        <v>632</v>
      </c>
      <c r="EF2" s="255" t="s">
        <v>633</v>
      </c>
      <c r="EG2" s="255" t="s">
        <v>633</v>
      </c>
      <c r="EJ2" s="340"/>
      <c r="EK2" s="237" t="s">
        <v>114</v>
      </c>
      <c r="EL2" s="237" t="s">
        <v>620</v>
      </c>
      <c r="EN2" s="340"/>
      <c r="EO2" s="237" t="s">
        <v>114</v>
      </c>
      <c r="EP2" s="237" t="s">
        <v>620</v>
      </c>
      <c r="ER2" s="237" t="s">
        <v>114</v>
      </c>
      <c r="ES2" s="237" t="s">
        <v>620</v>
      </c>
      <c r="ET2" s="237" t="s">
        <v>114</v>
      </c>
      <c r="EU2" s="237" t="s">
        <v>620</v>
      </c>
      <c r="EV2" s="237"/>
      <c r="EW2" s="237" t="s">
        <v>114</v>
      </c>
      <c r="EX2" s="237" t="s">
        <v>620</v>
      </c>
      <c r="EY2" s="237" t="s">
        <v>114</v>
      </c>
      <c r="EZ2" s="237" t="s">
        <v>620</v>
      </c>
    </row>
    <row r="3" spans="1:156" ht="50.25" customHeight="1">
      <c r="A3" s="350">
        <v>39142</v>
      </c>
      <c r="B3" s="248" t="s">
        <v>300</v>
      </c>
      <c r="C3">
        <v>914.89361699999995</v>
      </c>
      <c r="F3" s="248" t="s">
        <v>300</v>
      </c>
      <c r="G3">
        <v>912</v>
      </c>
      <c r="I3">
        <v>938</v>
      </c>
      <c r="K3">
        <v>886</v>
      </c>
      <c r="N3" s="248" t="s">
        <v>300</v>
      </c>
      <c r="O3">
        <v>823.81729199999995</v>
      </c>
      <c r="P3" s="237" t="s">
        <v>189</v>
      </c>
      <c r="Q3" s="237" t="s">
        <v>589</v>
      </c>
      <c r="R3" s="88">
        <f t="shared" ref="R3:R17" si="0">O3</f>
        <v>823.81729199999995</v>
      </c>
      <c r="S3" s="237" t="s">
        <v>189</v>
      </c>
      <c r="T3" s="237" t="s">
        <v>589</v>
      </c>
      <c r="U3" s="237"/>
      <c r="V3" s="248" t="s">
        <v>300</v>
      </c>
      <c r="W3">
        <v>768.93649600000003</v>
      </c>
      <c r="X3" s="237" t="s">
        <v>189</v>
      </c>
      <c r="Y3" s="88">
        <f t="shared" ref="Y3:Y17" si="1">W3</f>
        <v>768.93649600000003</v>
      </c>
      <c r="AA3" s="237" t="s">
        <v>589</v>
      </c>
      <c r="AB3" s="237"/>
      <c r="AC3" s="248" t="s">
        <v>300</v>
      </c>
      <c r="AD3">
        <v>32.78</v>
      </c>
      <c r="AE3">
        <v>22.03</v>
      </c>
      <c r="AF3">
        <v>23.86</v>
      </c>
      <c r="AJ3" s="248" t="s">
        <v>300</v>
      </c>
      <c r="AK3">
        <v>26.64</v>
      </c>
      <c r="AO3" s="248" t="s">
        <v>300</v>
      </c>
      <c r="AP3" s="351">
        <v>22.7</v>
      </c>
      <c r="AT3" s="248" t="s">
        <v>300</v>
      </c>
      <c r="AU3" s="95">
        <v>116668500</v>
      </c>
      <c r="AX3" s="248" t="s">
        <v>300</v>
      </c>
      <c r="AY3" s="95">
        <v>4890000</v>
      </c>
      <c r="BC3" s="248" t="s">
        <v>300</v>
      </c>
      <c r="BD3" t="s">
        <v>634</v>
      </c>
      <c r="BE3" t="s">
        <v>634</v>
      </c>
      <c r="BF3" t="s">
        <v>634</v>
      </c>
      <c r="BK3" s="350">
        <v>39142</v>
      </c>
      <c r="BL3" s="352">
        <v>10.25</v>
      </c>
      <c r="BP3" s="350">
        <v>39142</v>
      </c>
      <c r="BQ3" s="352">
        <f t="shared" ref="BQ3:BQ51" si="2">AF3*VLOOKUP(TEXT(YEAR($BS$1),"0000Q"&amp;(MONTH($BS$1)/3)),$N$3:$O$55,2)/$O3</f>
        <v>29.715763723007651</v>
      </c>
      <c r="BR3" s="352">
        <f t="shared" ref="BR3:BR51" si="3">AK3*VLOOKUP(TEXT(YEAR($BS$1),"0000Q"&amp;(MONTH($BS$1)/3)),$N$3:$O$55,2)/$O3</f>
        <v>33.17803627749052</v>
      </c>
      <c r="BS3" s="352">
        <f t="shared" ref="BS3:BS51" si="4">AP3*VLOOKUP(TEXT(YEAR($BS$1),"0000Q"&amp;(MONTH($BS$1)/3)),$N$3:$O$55,2)/$O3</f>
        <v>28.271074455669478</v>
      </c>
      <c r="BV3" s="248" t="s">
        <v>300</v>
      </c>
      <c r="BW3" t="s">
        <v>634</v>
      </c>
      <c r="BX3" t="s">
        <v>634</v>
      </c>
      <c r="BY3">
        <v>926.12752699999999</v>
      </c>
      <c r="CD3" s="248" t="s">
        <v>300</v>
      </c>
      <c r="CE3" t="s">
        <v>634</v>
      </c>
      <c r="CH3">
        <v>935.06493499999999</v>
      </c>
      <c r="CL3" s="248" t="s">
        <v>300</v>
      </c>
      <c r="CM3" t="s">
        <v>634</v>
      </c>
      <c r="CN3" t="s">
        <v>634</v>
      </c>
      <c r="CO3" t="s">
        <v>634</v>
      </c>
      <c r="CP3" s="237"/>
      <c r="CQ3" s="236"/>
      <c r="CR3" s="237" t="s">
        <v>616</v>
      </c>
      <c r="CS3" s="237" t="s">
        <v>617</v>
      </c>
      <c r="CT3" s="237" t="s">
        <v>616</v>
      </c>
      <c r="CU3" s="237" t="s">
        <v>617</v>
      </c>
      <c r="CV3" s="237"/>
      <c r="CW3" s="236"/>
      <c r="CX3" s="237" t="s">
        <v>622</v>
      </c>
      <c r="CY3" s="237" t="s">
        <v>622</v>
      </c>
      <c r="CZ3" s="237" t="s">
        <v>622</v>
      </c>
      <c r="DA3" s="237"/>
      <c r="DB3" s="237"/>
      <c r="DC3" s="237"/>
      <c r="DD3" s="237"/>
      <c r="DE3" s="238" t="s">
        <v>189</v>
      </c>
      <c r="DF3" s="238"/>
      <c r="DG3" s="237"/>
      <c r="DH3" s="236"/>
      <c r="DI3" s="238" t="s">
        <v>629</v>
      </c>
      <c r="DJ3" s="238"/>
      <c r="DK3" s="238"/>
      <c r="DL3" s="237"/>
      <c r="DN3" s="237" t="s">
        <v>114</v>
      </c>
      <c r="DO3" s="237" t="s">
        <v>624</v>
      </c>
      <c r="DP3" s="237" t="s">
        <v>114</v>
      </c>
      <c r="DQ3" s="237" t="s">
        <v>620</v>
      </c>
      <c r="DR3" s="237" t="s">
        <v>114</v>
      </c>
      <c r="DS3" s="237" t="s">
        <v>624</v>
      </c>
      <c r="DT3" s="237"/>
      <c r="DV3" s="347" t="s">
        <v>635</v>
      </c>
      <c r="DW3" s="348" t="s">
        <v>635</v>
      </c>
      <c r="DX3" s="349" t="s">
        <v>635</v>
      </c>
      <c r="DZ3" s="349" t="s">
        <v>635</v>
      </c>
      <c r="ED3" s="255" t="s">
        <v>636</v>
      </c>
      <c r="EE3" s="255" t="s">
        <v>637</v>
      </c>
      <c r="EF3" s="255" t="s">
        <v>636</v>
      </c>
      <c r="EG3" s="255" t="s">
        <v>637</v>
      </c>
      <c r="EJ3" s="248" t="s">
        <v>638</v>
      </c>
      <c r="EK3" s="95">
        <v>41481000</v>
      </c>
      <c r="EL3" s="95">
        <v>497885400</v>
      </c>
      <c r="EN3" s="248" t="s">
        <v>638</v>
      </c>
      <c r="EO3" s="95">
        <v>3021300</v>
      </c>
      <c r="EP3" s="95">
        <v>38104900</v>
      </c>
      <c r="ER3" s="352">
        <f>EK3/EO3</f>
        <v>13.729520405123623</v>
      </c>
      <c r="ES3" s="352">
        <f>EL3/EP3</f>
        <v>13.066177840645166</v>
      </c>
      <c r="ET3" s="352"/>
      <c r="EU3" s="352"/>
      <c r="EV3" s="352"/>
    </row>
    <row r="4" spans="1:156" ht="15" customHeight="1">
      <c r="A4" s="350">
        <v>39234</v>
      </c>
      <c r="B4" s="248" t="s">
        <v>352</v>
      </c>
      <c r="C4">
        <v>926.29179299999998</v>
      </c>
      <c r="F4" s="248" t="s">
        <v>352</v>
      </c>
      <c r="G4">
        <v>917</v>
      </c>
      <c r="I4">
        <v>958</v>
      </c>
      <c r="K4">
        <v>900</v>
      </c>
      <c r="N4" s="248" t="s">
        <v>352</v>
      </c>
      <c r="O4">
        <v>831.97389899999996</v>
      </c>
      <c r="Q4" s="89">
        <f>O4/O3-1</f>
        <v>9.9009902792863702E-3</v>
      </c>
      <c r="R4" s="88">
        <f t="shared" si="0"/>
        <v>831.97389899999996</v>
      </c>
      <c r="T4" s="89">
        <f t="shared" ref="T4:T50" si="5">R4/R3-1</f>
        <v>9.9009902792863702E-3</v>
      </c>
      <c r="U4" s="89"/>
      <c r="V4" s="248" t="s">
        <v>352</v>
      </c>
      <c r="W4">
        <v>783.47360400000002</v>
      </c>
      <c r="Y4" s="88">
        <f t="shared" si="1"/>
        <v>783.47360400000002</v>
      </c>
      <c r="Z4" s="109" t="s">
        <v>282</v>
      </c>
      <c r="AA4" s="89">
        <f t="shared" ref="AA4:AA50" si="6">Y4/Y3-1</f>
        <v>1.8905472786923117E-2</v>
      </c>
      <c r="AB4" s="89"/>
      <c r="AC4" s="248" t="s">
        <v>352</v>
      </c>
      <c r="AD4">
        <v>33.24</v>
      </c>
      <c r="AE4">
        <v>22.16</v>
      </c>
      <c r="AF4">
        <v>24.06</v>
      </c>
      <c r="AH4" s="89">
        <f t="shared" ref="AH4:AH50" si="7">AF4/AF3-1</f>
        <v>8.3822296730931001E-3</v>
      </c>
      <c r="AJ4" s="248" t="s">
        <v>352</v>
      </c>
      <c r="AK4">
        <v>27.2</v>
      </c>
      <c r="AL4" s="237"/>
      <c r="AM4" s="89">
        <f t="shared" ref="AM4:AM50" si="8">AK4/AK3-1</f>
        <v>2.102102102102088E-2</v>
      </c>
      <c r="AO4" s="248" t="s">
        <v>352</v>
      </c>
      <c r="AP4" s="351">
        <v>22.89</v>
      </c>
      <c r="AR4" s="89">
        <f t="shared" ref="AR4:AR50" si="9">AP4/AP3-1</f>
        <v>8.3700440528635678E-3</v>
      </c>
      <c r="AT4" s="248" t="s">
        <v>352</v>
      </c>
      <c r="AU4" s="95">
        <v>116171600</v>
      </c>
      <c r="AX4" s="248" t="s">
        <v>352</v>
      </c>
      <c r="AY4" s="95">
        <v>4828700</v>
      </c>
      <c r="BC4" s="248" t="s">
        <v>352</v>
      </c>
      <c r="BD4" t="s">
        <v>634</v>
      </c>
      <c r="BE4" t="s">
        <v>634</v>
      </c>
      <c r="BF4" t="s">
        <v>634</v>
      </c>
      <c r="BK4" s="350">
        <v>39234</v>
      </c>
      <c r="BL4" s="352">
        <v>11.25</v>
      </c>
      <c r="BP4" s="350">
        <v>39234</v>
      </c>
      <c r="BQ4" s="352">
        <f t="shared" si="2"/>
        <v>29.671075053761992</v>
      </c>
      <c r="BR4" s="352">
        <f t="shared" si="3"/>
        <v>33.5433599942779</v>
      </c>
      <c r="BS4" s="352">
        <f t="shared" si="4"/>
        <v>28.228217289302247</v>
      </c>
      <c r="BV4" s="248" t="s">
        <v>352</v>
      </c>
      <c r="BW4" t="s">
        <v>634</v>
      </c>
      <c r="BX4" t="s">
        <v>634</v>
      </c>
      <c r="BY4">
        <v>928.46034199999997</v>
      </c>
      <c r="CD4" s="248" t="s">
        <v>352</v>
      </c>
      <c r="CE4" t="s">
        <v>634</v>
      </c>
      <c r="CH4">
        <v>941.55844200000001</v>
      </c>
      <c r="CL4" s="248" t="s">
        <v>352</v>
      </c>
      <c r="CM4" t="s">
        <v>634</v>
      </c>
      <c r="CN4" t="s">
        <v>634</v>
      </c>
      <c r="CO4" t="s">
        <v>634</v>
      </c>
      <c r="CP4" s="237"/>
      <c r="CQ4" s="248" t="s">
        <v>639</v>
      </c>
      <c r="CR4">
        <v>1000</v>
      </c>
      <c r="CS4">
        <v>1000</v>
      </c>
      <c r="CT4">
        <v>1000</v>
      </c>
      <c r="CU4">
        <v>1000</v>
      </c>
      <c r="CW4" s="248" t="s">
        <v>640</v>
      </c>
      <c r="CX4">
        <v>697.79385500000001</v>
      </c>
      <c r="CY4">
        <v>699.615771</v>
      </c>
      <c r="CZ4">
        <v>697.47166500000003</v>
      </c>
      <c r="DB4" s="350">
        <v>37043</v>
      </c>
      <c r="DC4">
        <f t="shared" ref="DC4:DC35" si="10">CR4</f>
        <v>1000</v>
      </c>
      <c r="DD4">
        <f>CT4</f>
        <v>1000</v>
      </c>
      <c r="DH4" s="248" t="s">
        <v>638</v>
      </c>
      <c r="DI4">
        <v>14.98</v>
      </c>
      <c r="DJ4">
        <v>12.19</v>
      </c>
      <c r="DK4">
        <v>13.07</v>
      </c>
      <c r="DL4" s="237"/>
      <c r="DM4" s="353">
        <v>32568</v>
      </c>
      <c r="DN4">
        <v>13.73</v>
      </c>
      <c r="DO4">
        <v>13.07</v>
      </c>
      <c r="DP4" s="237"/>
      <c r="DQ4" s="237"/>
      <c r="DR4" s="237"/>
      <c r="DS4" s="237"/>
      <c r="DT4" s="237"/>
      <c r="DV4" s="347" t="s">
        <v>641</v>
      </c>
      <c r="DW4" s="348" t="s">
        <v>641</v>
      </c>
      <c r="DX4" s="349" t="s">
        <v>641</v>
      </c>
      <c r="DZ4" s="349" t="s">
        <v>641</v>
      </c>
      <c r="EC4" s="350">
        <v>39965</v>
      </c>
      <c r="ED4">
        <f>1000*(CN12/$CN$12)*($O$12/$O12)</f>
        <v>1000</v>
      </c>
      <c r="EE4">
        <f t="shared" ref="EE4:EE42" si="11">1000*(CO12/$CO$12)*($O$12/$O12)</f>
        <v>1000</v>
      </c>
      <c r="EF4">
        <f t="shared" ref="EF4:EF42" si="12">1000*($DV58/$DV$58)*($DZ$254/$DZ254)</f>
        <v>1000</v>
      </c>
      <c r="EG4">
        <f t="shared" ref="EG4:EG42" si="13">1000*($DX58/$DX$58)*($DZ$254/$DZ254)</f>
        <v>1000</v>
      </c>
      <c r="EJ4" s="248" t="s">
        <v>642</v>
      </c>
      <c r="EK4" s="95">
        <v>39883400</v>
      </c>
      <c r="EL4" s="95">
        <v>491185000</v>
      </c>
      <c r="EN4" s="248" t="s">
        <v>642</v>
      </c>
      <c r="EO4" s="95">
        <v>2897300</v>
      </c>
      <c r="EP4" s="95">
        <v>37250200</v>
      </c>
      <c r="ER4" s="352">
        <f t="shared" ref="ER4:ES67" si="14">EK4/EO4</f>
        <v>13.765712905118558</v>
      </c>
      <c r="ES4" s="352">
        <f t="shared" si="14"/>
        <v>13.186103698772087</v>
      </c>
      <c r="ET4" s="352"/>
      <c r="EU4" s="352"/>
      <c r="EV4" s="352"/>
    </row>
    <row r="5" spans="1:156">
      <c r="A5" s="350">
        <v>39326</v>
      </c>
      <c r="B5" s="248" t="s">
        <v>356</v>
      </c>
      <c r="C5">
        <v>930.85106399999995</v>
      </c>
      <c r="F5" s="248" t="s">
        <v>356</v>
      </c>
      <c r="G5">
        <v>922</v>
      </c>
      <c r="I5">
        <v>960</v>
      </c>
      <c r="K5">
        <v>905</v>
      </c>
      <c r="N5" s="248" t="s">
        <v>356</v>
      </c>
      <c r="O5">
        <v>836.05220199999997</v>
      </c>
      <c r="Q5" s="89">
        <f t="shared" ref="Q5:Q50" si="15">O5/O4-1</f>
        <v>4.9019602717128574E-3</v>
      </c>
      <c r="R5" s="88">
        <f t="shared" si="0"/>
        <v>836.05220199999997</v>
      </c>
      <c r="T5" s="89">
        <f t="shared" si="5"/>
        <v>4.9019602717128574E-3</v>
      </c>
      <c r="U5" s="89"/>
      <c r="V5" s="248" t="s">
        <v>356</v>
      </c>
      <c r="W5">
        <v>758.99005399999999</v>
      </c>
      <c r="Y5" s="88">
        <f t="shared" si="1"/>
        <v>758.99005399999999</v>
      </c>
      <c r="AA5" s="89">
        <f t="shared" si="6"/>
        <v>-3.1249999840454179E-2</v>
      </c>
      <c r="AB5" s="89"/>
      <c r="AC5" s="248" t="s">
        <v>356</v>
      </c>
      <c r="AD5">
        <v>33.22</v>
      </c>
      <c r="AE5">
        <v>22.56</v>
      </c>
      <c r="AF5">
        <v>24.36</v>
      </c>
      <c r="AH5" s="89">
        <f t="shared" si="7"/>
        <v>1.2468827930174564E-2</v>
      </c>
      <c r="AJ5" s="248" t="s">
        <v>356</v>
      </c>
      <c r="AK5">
        <v>27.75</v>
      </c>
      <c r="AM5" s="89">
        <f t="shared" si="8"/>
        <v>2.0220588235294157E-2</v>
      </c>
      <c r="AO5" s="248" t="s">
        <v>356</v>
      </c>
      <c r="AP5" s="351">
        <v>23.19</v>
      </c>
      <c r="AR5" s="89">
        <f t="shared" si="9"/>
        <v>1.3106159895150737E-2</v>
      </c>
      <c r="AT5" s="248" t="s">
        <v>356</v>
      </c>
      <c r="AU5" s="95">
        <v>119118400</v>
      </c>
      <c r="AX5" s="248" t="s">
        <v>356</v>
      </c>
      <c r="AY5" s="95">
        <v>4890500</v>
      </c>
      <c r="BC5" s="248" t="s">
        <v>356</v>
      </c>
      <c r="BD5" t="s">
        <v>634</v>
      </c>
      <c r="BE5" t="s">
        <v>634</v>
      </c>
      <c r="BF5" t="s">
        <v>634</v>
      </c>
      <c r="BK5" s="350">
        <v>39326</v>
      </c>
      <c r="BL5" s="352">
        <v>11.25</v>
      </c>
      <c r="BP5" s="350">
        <v>39326</v>
      </c>
      <c r="BQ5" s="352">
        <f t="shared" si="2"/>
        <v>29.894496946734915</v>
      </c>
      <c r="BR5" s="352">
        <f t="shared" si="3"/>
        <v>34.054691718879056</v>
      </c>
      <c r="BS5" s="352">
        <f t="shared" si="4"/>
        <v>28.458677512101097</v>
      </c>
      <c r="BV5" s="248" t="s">
        <v>356</v>
      </c>
      <c r="BW5" t="s">
        <v>634</v>
      </c>
      <c r="BX5" t="s">
        <v>634</v>
      </c>
      <c r="BY5">
        <v>936.23639200000002</v>
      </c>
      <c r="CD5" s="248" t="s">
        <v>356</v>
      </c>
      <c r="CE5" t="s">
        <v>634</v>
      </c>
      <c r="CH5">
        <v>950.48701300000005</v>
      </c>
      <c r="CL5" s="248" t="s">
        <v>356</v>
      </c>
      <c r="CM5" t="s">
        <v>634</v>
      </c>
      <c r="CN5" t="s">
        <v>634</v>
      </c>
      <c r="CO5" t="s">
        <v>634</v>
      </c>
      <c r="CP5" s="237"/>
      <c r="CQ5" s="248" t="s">
        <v>643</v>
      </c>
      <c r="CR5">
        <v>1007</v>
      </c>
      <c r="CS5" t="s">
        <v>634</v>
      </c>
      <c r="CT5">
        <v>1006</v>
      </c>
      <c r="CU5" t="s">
        <v>634</v>
      </c>
      <c r="CW5" s="248" t="s">
        <v>644</v>
      </c>
      <c r="CX5">
        <v>699.88723700000003</v>
      </c>
      <c r="CY5">
        <v>701.71461799999997</v>
      </c>
      <c r="CZ5">
        <v>696.77419399999997</v>
      </c>
      <c r="DB5" s="350">
        <v>37135</v>
      </c>
      <c r="DC5">
        <f t="shared" si="10"/>
        <v>1007</v>
      </c>
      <c r="DD5">
        <f t="shared" ref="DD5:DD35" si="16">CT5</f>
        <v>1006</v>
      </c>
      <c r="DH5" s="248" t="s">
        <v>642</v>
      </c>
      <c r="DI5">
        <v>15.26</v>
      </c>
      <c r="DJ5">
        <v>12.24</v>
      </c>
      <c r="DK5">
        <v>13.19</v>
      </c>
      <c r="DM5" s="353">
        <v>32660</v>
      </c>
      <c r="DN5">
        <v>13.77</v>
      </c>
      <c r="DO5">
        <v>13.19</v>
      </c>
      <c r="DP5" s="237"/>
      <c r="DQ5" s="237"/>
      <c r="DR5" s="237"/>
      <c r="DS5" s="237"/>
      <c r="DT5" s="237"/>
      <c r="DV5" s="347" t="s">
        <v>645</v>
      </c>
      <c r="DW5" s="348" t="s">
        <v>645</v>
      </c>
      <c r="DX5" s="349" t="s">
        <v>645</v>
      </c>
      <c r="DZ5" s="349" t="s">
        <v>645</v>
      </c>
      <c r="EC5" s="350">
        <v>40057</v>
      </c>
      <c r="ED5">
        <f t="shared" ref="ED5:ED42" si="17">1000*(CN13/$CN$12)*$O$12/$O13</f>
        <v>993.13790020684678</v>
      </c>
      <c r="EE5">
        <f t="shared" si="11"/>
        <v>994.12511481937838</v>
      </c>
      <c r="EF5">
        <f t="shared" si="12"/>
        <v>1006.0791844086058</v>
      </c>
      <c r="EG5">
        <f t="shared" si="13"/>
        <v>1013.869799219949</v>
      </c>
      <c r="EJ5" s="248" t="s">
        <v>646</v>
      </c>
      <c r="EK5" s="95">
        <v>39999400</v>
      </c>
      <c r="EL5" s="95">
        <v>485420600</v>
      </c>
      <c r="EN5" s="248" t="s">
        <v>646</v>
      </c>
      <c r="EO5" s="95">
        <v>2911500</v>
      </c>
      <c r="EP5" s="95">
        <v>36465900</v>
      </c>
      <c r="ER5" s="352">
        <f t="shared" si="14"/>
        <v>13.738416623733471</v>
      </c>
      <c r="ES5" s="352">
        <f t="shared" si="14"/>
        <v>13.311630866096818</v>
      </c>
      <c r="ET5" s="352"/>
      <c r="EU5" s="352"/>
      <c r="EV5" s="352"/>
    </row>
    <row r="6" spans="1:156">
      <c r="A6" s="350">
        <v>39417</v>
      </c>
      <c r="B6" s="248" t="s">
        <v>360</v>
      </c>
      <c r="C6">
        <v>941.48936200000003</v>
      </c>
      <c r="F6" s="248" t="s">
        <v>360</v>
      </c>
      <c r="G6">
        <v>936</v>
      </c>
      <c r="H6" s="89"/>
      <c r="I6">
        <v>968</v>
      </c>
      <c r="J6" s="89"/>
      <c r="K6">
        <v>913</v>
      </c>
      <c r="L6" s="89"/>
      <c r="N6" s="248" t="s">
        <v>360</v>
      </c>
      <c r="O6">
        <v>845.84013100000004</v>
      </c>
      <c r="Q6" s="89">
        <f t="shared" si="15"/>
        <v>1.1707318007877277E-2</v>
      </c>
      <c r="R6" s="88">
        <f t="shared" si="0"/>
        <v>845.84013100000004</v>
      </c>
      <c r="T6" s="89">
        <f t="shared" si="5"/>
        <v>1.1707318007877277E-2</v>
      </c>
      <c r="U6" s="89"/>
      <c r="V6" s="248" t="s">
        <v>360</v>
      </c>
      <c r="W6">
        <v>762.05049699999995</v>
      </c>
      <c r="Y6" s="88">
        <f t="shared" si="1"/>
        <v>762.05049699999995</v>
      </c>
      <c r="AA6" s="89">
        <f t="shared" si="6"/>
        <v>4.0322570551101222E-3</v>
      </c>
      <c r="AB6" s="89"/>
      <c r="AC6" s="248" t="s">
        <v>360</v>
      </c>
      <c r="AD6">
        <v>33.47</v>
      </c>
      <c r="AE6">
        <v>23.02</v>
      </c>
      <c r="AF6">
        <v>24.8</v>
      </c>
      <c r="AH6" s="89">
        <f t="shared" si="7"/>
        <v>1.8062397372742289E-2</v>
      </c>
      <c r="AJ6" s="248" t="s">
        <v>360</v>
      </c>
      <c r="AK6">
        <v>28.57</v>
      </c>
      <c r="AM6" s="89">
        <f t="shared" si="8"/>
        <v>2.954954954954947E-2</v>
      </c>
      <c r="AO6" s="248" t="s">
        <v>360</v>
      </c>
      <c r="AP6" s="351">
        <v>23.4</v>
      </c>
      <c r="AR6" s="89">
        <f t="shared" si="9"/>
        <v>9.0556274256143876E-3</v>
      </c>
      <c r="AT6" s="248" t="s">
        <v>360</v>
      </c>
      <c r="AU6" s="95">
        <v>120987300</v>
      </c>
      <c r="AX6" s="248" t="s">
        <v>360</v>
      </c>
      <c r="AY6" s="95">
        <v>4877800</v>
      </c>
      <c r="BC6" s="248" t="s">
        <v>360</v>
      </c>
      <c r="BD6" t="s">
        <v>634</v>
      </c>
      <c r="BE6" t="s">
        <v>634</v>
      </c>
      <c r="BF6" t="s">
        <v>634</v>
      </c>
      <c r="BK6" s="350">
        <v>39417</v>
      </c>
      <c r="BL6" s="352">
        <v>11.25</v>
      </c>
      <c r="BP6" s="350">
        <v>39417</v>
      </c>
      <c r="BQ6" s="352">
        <f t="shared" si="2"/>
        <v>30.082280406721441</v>
      </c>
      <c r="BR6" s="352">
        <f t="shared" si="3"/>
        <v>34.65527222661418</v>
      </c>
      <c r="BS6" s="352">
        <f t="shared" si="4"/>
        <v>28.384087157954909</v>
      </c>
      <c r="BV6" s="248" t="s">
        <v>360</v>
      </c>
      <c r="BW6" t="s">
        <v>634</v>
      </c>
      <c r="BX6" t="s">
        <v>634</v>
      </c>
      <c r="BY6">
        <v>942.45723199999998</v>
      </c>
      <c r="CD6" s="248" t="s">
        <v>360</v>
      </c>
      <c r="CE6" t="s">
        <v>634</v>
      </c>
      <c r="CH6">
        <v>961.03896099999997</v>
      </c>
      <c r="CL6" s="248" t="s">
        <v>360</v>
      </c>
      <c r="CM6" t="s">
        <v>634</v>
      </c>
      <c r="CN6" t="s">
        <v>634</v>
      </c>
      <c r="CO6" t="s">
        <v>634</v>
      </c>
      <c r="CP6" s="237"/>
      <c r="CQ6" s="248" t="s">
        <v>647</v>
      </c>
      <c r="CR6">
        <v>1016</v>
      </c>
      <c r="CS6" t="s">
        <v>634</v>
      </c>
      <c r="CT6">
        <v>1011</v>
      </c>
      <c r="CU6" t="s">
        <v>634</v>
      </c>
      <c r="CW6" s="248" t="s">
        <v>648</v>
      </c>
      <c r="CX6">
        <v>701.98061800000005</v>
      </c>
      <c r="CY6">
        <v>703.81346599999995</v>
      </c>
      <c r="CZ6">
        <v>698.16913699999998</v>
      </c>
      <c r="DB6" s="350">
        <v>37226</v>
      </c>
      <c r="DC6">
        <f t="shared" si="10"/>
        <v>1016</v>
      </c>
      <c r="DD6">
        <f t="shared" si="16"/>
        <v>1011</v>
      </c>
      <c r="DH6" s="248" t="s">
        <v>646</v>
      </c>
      <c r="DI6">
        <v>15.34</v>
      </c>
      <c r="DJ6">
        <v>12.35</v>
      </c>
      <c r="DK6">
        <v>13.31</v>
      </c>
      <c r="DM6" s="353">
        <v>32752</v>
      </c>
      <c r="DN6">
        <v>13.74</v>
      </c>
      <c r="DO6">
        <v>13.31</v>
      </c>
      <c r="DP6" s="237"/>
      <c r="DQ6" s="237"/>
      <c r="DR6" s="237"/>
      <c r="DS6" s="237"/>
      <c r="DT6" s="237"/>
      <c r="DV6" s="354">
        <v>3</v>
      </c>
      <c r="DW6" s="355">
        <v>3</v>
      </c>
      <c r="DX6" s="356">
        <v>3</v>
      </c>
      <c r="DZ6" s="356">
        <v>3</v>
      </c>
      <c r="EC6" s="350">
        <v>40148</v>
      </c>
      <c r="ED6">
        <f t="shared" si="17"/>
        <v>999.90027472708266</v>
      </c>
      <c r="EE6">
        <f t="shared" si="11"/>
        <v>1002.8673378568367</v>
      </c>
      <c r="EF6">
        <f t="shared" si="12"/>
        <v>1010.4890740560097</v>
      </c>
      <c r="EG6">
        <f t="shared" si="13"/>
        <v>1019.1916537818541</v>
      </c>
      <c r="EJ6" s="248" t="s">
        <v>649</v>
      </c>
      <c r="EK6" s="95">
        <v>40267200</v>
      </c>
      <c r="EL6" s="95">
        <v>489803300</v>
      </c>
      <c r="EN6" s="248" t="s">
        <v>649</v>
      </c>
      <c r="EO6" s="95">
        <v>2891700</v>
      </c>
      <c r="EP6" s="95">
        <v>36405900</v>
      </c>
      <c r="ER6" s="352">
        <f t="shared" si="14"/>
        <v>13.92509596431165</v>
      </c>
      <c r="ES6" s="352">
        <f t="shared" si="14"/>
        <v>13.45395389208892</v>
      </c>
      <c r="ET6" s="352"/>
      <c r="EU6" s="352"/>
      <c r="EV6" s="350">
        <v>32843</v>
      </c>
      <c r="EW6" s="352">
        <f>SUM(EK3:EK6)/SUM(EO3:EO6)</f>
        <v>13.788923202921053</v>
      </c>
      <c r="EX6" s="352">
        <f>SUM(EL3:EL6)/SUM(EP3:EP6)</f>
        <v>13.251942123865506</v>
      </c>
      <c r="EY6" s="352"/>
      <c r="EZ6" s="352"/>
    </row>
    <row r="7" spans="1:156">
      <c r="A7" s="350">
        <v>39508</v>
      </c>
      <c r="B7" s="248" t="s">
        <v>364</v>
      </c>
      <c r="C7">
        <v>956.68692999999996</v>
      </c>
      <c r="D7" s="89">
        <f>C7/C3-1</f>
        <v>4.5681063047573911E-2</v>
      </c>
      <c r="F7" s="248" t="s">
        <v>364</v>
      </c>
      <c r="G7">
        <v>957</v>
      </c>
      <c r="H7" s="89">
        <f>G7/G3-1</f>
        <v>4.9342105263157965E-2</v>
      </c>
      <c r="I7">
        <v>978</v>
      </c>
      <c r="J7" s="89">
        <f>I7/I3-1</f>
        <v>4.2643923240938131E-2</v>
      </c>
      <c r="K7">
        <v>921</v>
      </c>
      <c r="L7" s="89">
        <f>K7/K3-1</f>
        <v>3.950338600451464E-2</v>
      </c>
      <c r="N7" s="248" t="s">
        <v>364</v>
      </c>
      <c r="O7">
        <v>851.549755</v>
      </c>
      <c r="P7" s="89">
        <f t="shared" ref="P7:S22" si="18">O7/O3-1</f>
        <v>3.3663365978484627E-2</v>
      </c>
      <c r="Q7" s="89">
        <f t="shared" si="15"/>
        <v>6.750240134917318E-3</v>
      </c>
      <c r="R7" s="88">
        <f t="shared" si="0"/>
        <v>851.549755</v>
      </c>
      <c r="S7" s="89">
        <f t="shared" si="18"/>
        <v>3.3663365978484627E-2</v>
      </c>
      <c r="T7" s="89">
        <f t="shared" si="5"/>
        <v>6.750240134917318E-3</v>
      </c>
      <c r="U7" s="89"/>
      <c r="V7" s="248" t="s">
        <v>364</v>
      </c>
      <c r="W7">
        <v>765.11094100000003</v>
      </c>
      <c r="X7" s="89">
        <f>W7/W3-1</f>
        <v>-4.9751247598475157E-3</v>
      </c>
      <c r="Y7" s="88">
        <f t="shared" si="1"/>
        <v>765.11094100000003</v>
      </c>
      <c r="Z7" s="89">
        <f t="shared" ref="Z7:Z47" si="19">Y7/Y3-1</f>
        <v>-4.9751247598475157E-3</v>
      </c>
      <c r="AA7" s="89">
        <f t="shared" si="6"/>
        <v>4.0160645679627738E-3</v>
      </c>
      <c r="AB7" s="89"/>
      <c r="AC7" s="248" t="s">
        <v>364</v>
      </c>
      <c r="AD7">
        <v>34.340000000000003</v>
      </c>
      <c r="AE7">
        <v>23.49</v>
      </c>
      <c r="AF7">
        <v>25.36</v>
      </c>
      <c r="AG7" s="89">
        <f>AF7/AF3-1</f>
        <v>6.2866722548197806E-2</v>
      </c>
      <c r="AH7" s="89">
        <f t="shared" si="7"/>
        <v>2.2580645161290214E-2</v>
      </c>
      <c r="AJ7" s="248" t="s">
        <v>364</v>
      </c>
      <c r="AK7">
        <v>28.8</v>
      </c>
      <c r="AL7" s="89">
        <f>AK7/AK3-1</f>
        <v>8.1081081081081141E-2</v>
      </c>
      <c r="AM7" s="89">
        <f t="shared" si="8"/>
        <v>8.0504025201260099E-3</v>
      </c>
      <c r="AO7" s="248" t="s">
        <v>364</v>
      </c>
      <c r="AP7" s="351">
        <v>23.75</v>
      </c>
      <c r="AQ7" s="89">
        <f>AP7/AP3-1</f>
        <v>4.6255506607929542E-2</v>
      </c>
      <c r="AR7" s="89">
        <f t="shared" si="9"/>
        <v>1.4957264957265126E-2</v>
      </c>
      <c r="AT7" s="248" t="s">
        <v>364</v>
      </c>
      <c r="AU7" s="95">
        <v>125989700</v>
      </c>
      <c r="AV7" s="89">
        <f>AU7/AU3-1</f>
        <v>7.9894744511157745E-2</v>
      </c>
      <c r="AX7" s="248" t="s">
        <v>364</v>
      </c>
      <c r="AY7" s="95">
        <v>4967700</v>
      </c>
      <c r="AZ7" s="89">
        <f>AY7/AY3-1</f>
        <v>1.5889570552147347E-2</v>
      </c>
      <c r="BA7" s="89"/>
      <c r="BC7" s="248" t="s">
        <v>364</v>
      </c>
      <c r="BD7" t="s">
        <v>634</v>
      </c>
      <c r="BE7" t="s">
        <v>634</v>
      </c>
      <c r="BF7" t="s">
        <v>634</v>
      </c>
      <c r="BG7" s="118"/>
      <c r="BH7" s="118"/>
      <c r="BI7" s="118"/>
      <c r="BK7" s="350">
        <v>39508</v>
      </c>
      <c r="BL7" s="352">
        <v>11.25</v>
      </c>
      <c r="BP7" s="350">
        <v>39508</v>
      </c>
      <c r="BQ7" s="352">
        <f t="shared" si="2"/>
        <v>30.555302079794505</v>
      </c>
      <c r="BR7" s="352">
        <f t="shared" si="3"/>
        <v>34.700027598504796</v>
      </c>
      <c r="BS7" s="352">
        <f t="shared" si="4"/>
        <v>28.615474148072533</v>
      </c>
      <c r="BV7" s="248" t="s">
        <v>364</v>
      </c>
      <c r="BW7" t="s">
        <v>634</v>
      </c>
      <c r="BX7" t="s">
        <v>634</v>
      </c>
      <c r="BY7">
        <v>952.56609600000002</v>
      </c>
      <c r="CD7" s="248" t="s">
        <v>364</v>
      </c>
      <c r="CE7" t="s">
        <v>634</v>
      </c>
      <c r="CH7">
        <v>967.53246799999999</v>
      </c>
      <c r="CI7" s="118">
        <f t="shared" ref="CI7:CI56" si="20">CH7/CH3-1</f>
        <v>3.4722222794077995E-2</v>
      </c>
      <c r="CL7" s="248" t="s">
        <v>364</v>
      </c>
      <c r="CM7" t="s">
        <v>634</v>
      </c>
      <c r="CN7" t="s">
        <v>634</v>
      </c>
      <c r="CO7" t="s">
        <v>634</v>
      </c>
      <c r="CP7" s="237"/>
      <c r="CQ7" s="248" t="s">
        <v>650</v>
      </c>
      <c r="CR7">
        <v>1022</v>
      </c>
      <c r="CS7" t="s">
        <v>634</v>
      </c>
      <c r="CT7">
        <v>1016</v>
      </c>
      <c r="CU7" t="s">
        <v>634</v>
      </c>
      <c r="CW7" s="248" t="s">
        <v>651</v>
      </c>
      <c r="CX7">
        <v>704.07399999999996</v>
      </c>
      <c r="CY7">
        <v>705.21269700000005</v>
      </c>
      <c r="CZ7">
        <v>700.26155200000005</v>
      </c>
      <c r="DB7" s="350">
        <v>37316</v>
      </c>
      <c r="DC7">
        <f t="shared" si="10"/>
        <v>1022</v>
      </c>
      <c r="DD7">
        <f t="shared" si="16"/>
        <v>1016</v>
      </c>
      <c r="DH7" s="248" t="s">
        <v>649</v>
      </c>
      <c r="DI7">
        <v>15.32</v>
      </c>
      <c r="DJ7">
        <v>12.6</v>
      </c>
      <c r="DK7">
        <v>13.45</v>
      </c>
      <c r="DM7" s="353">
        <v>32843</v>
      </c>
      <c r="DN7">
        <v>13.93</v>
      </c>
      <c r="DO7">
        <v>13.45</v>
      </c>
      <c r="DP7" s="237"/>
      <c r="DQ7" s="237"/>
      <c r="DR7" s="237"/>
      <c r="DS7" s="237"/>
      <c r="DT7" s="237"/>
      <c r="DV7" s="357">
        <v>35674</v>
      </c>
      <c r="DW7" s="358">
        <v>35674</v>
      </c>
      <c r="DX7" s="359">
        <v>35674</v>
      </c>
      <c r="DZ7" s="359">
        <v>17777</v>
      </c>
      <c r="EC7" s="350">
        <v>40238</v>
      </c>
      <c r="ED7">
        <f t="shared" si="17"/>
        <v>1000.1959890248836</v>
      </c>
      <c r="EE7">
        <f t="shared" si="11"/>
        <v>1002.1668185599081</v>
      </c>
      <c r="EF7">
        <f t="shared" si="12"/>
        <v>1008.6579142042575</v>
      </c>
      <c r="EG7">
        <f t="shared" si="13"/>
        <v>1013.4097074170244</v>
      </c>
      <c r="EJ7" s="248" t="s">
        <v>652</v>
      </c>
      <c r="EK7" s="95">
        <v>40945900</v>
      </c>
      <c r="EL7" s="95">
        <v>507868400</v>
      </c>
      <c r="EN7" s="248" t="s">
        <v>652</v>
      </c>
      <c r="EO7" s="95">
        <v>2850200</v>
      </c>
      <c r="EP7" s="95">
        <v>36584000</v>
      </c>
      <c r="ER7" s="352">
        <f t="shared" si="14"/>
        <v>14.365974317591748</v>
      </c>
      <c r="ES7" s="352">
        <f t="shared" si="14"/>
        <v>13.882254537502734</v>
      </c>
      <c r="ET7" s="89">
        <f>ER7/ER3-1</f>
        <v>4.635660195607505E-2</v>
      </c>
      <c r="EU7" s="89">
        <f>ES7/ES3-1</f>
        <v>6.2457185782286428E-2</v>
      </c>
      <c r="EV7" s="350">
        <v>32933</v>
      </c>
      <c r="EW7" s="352">
        <f t="shared" ref="EW7:EX22" si="21">SUM(EK4:EK7)/SUM(EO4:EO7)</f>
        <v>13.946851705957215</v>
      </c>
      <c r="EX7" s="352">
        <f t="shared" si="21"/>
        <v>13.457372568265784</v>
      </c>
      <c r="EY7" s="153"/>
      <c r="EZ7" s="352"/>
    </row>
    <row r="8" spans="1:156" ht="15" customHeight="1">
      <c r="A8" s="360">
        <v>39600</v>
      </c>
      <c r="B8" s="361" t="s">
        <v>368</v>
      </c>
      <c r="C8" s="362">
        <v>976.44376899999997</v>
      </c>
      <c r="D8" s="363">
        <f>C8/C4-1</f>
        <v>5.414274031034183E-2</v>
      </c>
      <c r="F8" s="248" t="s">
        <v>368</v>
      </c>
      <c r="G8">
        <v>977</v>
      </c>
      <c r="H8" s="363">
        <f t="shared" ref="H8:L44" si="22">G8/G4-1</f>
        <v>6.5430752453653263E-2</v>
      </c>
      <c r="I8">
        <v>992</v>
      </c>
      <c r="J8" s="363">
        <f t="shared" si="22"/>
        <v>3.5490605427974886E-2</v>
      </c>
      <c r="K8">
        <v>952</v>
      </c>
      <c r="L8" s="363">
        <f t="shared" si="22"/>
        <v>5.7777777777777706E-2</v>
      </c>
      <c r="N8" s="248" t="s">
        <v>368</v>
      </c>
      <c r="O8">
        <v>865.41598699999997</v>
      </c>
      <c r="P8" s="363">
        <f t="shared" si="18"/>
        <v>4.0196078314711725E-2</v>
      </c>
      <c r="Q8" s="363">
        <f t="shared" si="15"/>
        <v>1.6283525323778525E-2</v>
      </c>
      <c r="R8" s="88">
        <f>O8</f>
        <v>865.41598699999997</v>
      </c>
      <c r="S8" s="363">
        <f t="shared" si="18"/>
        <v>4.0196078314711725E-2</v>
      </c>
      <c r="T8" s="89">
        <f t="shared" si="5"/>
        <v>1.6283525323778525E-2</v>
      </c>
      <c r="U8" s="89"/>
      <c r="V8" s="248" t="s">
        <v>368</v>
      </c>
      <c r="W8">
        <v>772.76205000000004</v>
      </c>
      <c r="X8" s="363">
        <f t="shared" ref="X8:X50" si="23">W8/W4-1</f>
        <v>-1.3671876047019915E-2</v>
      </c>
      <c r="Y8" s="88">
        <f t="shared" si="1"/>
        <v>772.76205000000004</v>
      </c>
      <c r="Z8" s="363">
        <f t="shared" si="19"/>
        <v>-1.3671876047019915E-2</v>
      </c>
      <c r="AA8" s="89">
        <f t="shared" si="6"/>
        <v>9.9999994641299939E-3</v>
      </c>
      <c r="AB8" s="89"/>
      <c r="AC8" s="248" t="s">
        <v>368</v>
      </c>
      <c r="AD8">
        <v>34.24</v>
      </c>
      <c r="AE8">
        <v>23.79</v>
      </c>
      <c r="AF8">
        <v>25.6</v>
      </c>
      <c r="AG8" s="363">
        <f>AF8/AF4-1</f>
        <v>6.4006650041562807E-2</v>
      </c>
      <c r="AH8" s="363">
        <f t="shared" si="7"/>
        <v>9.4637223974765039E-3</v>
      </c>
      <c r="AJ8" s="248" t="s">
        <v>368</v>
      </c>
      <c r="AK8">
        <v>28.83</v>
      </c>
      <c r="AL8" s="363">
        <f>AK8/AK4-1</f>
        <v>5.9926470588235192E-2</v>
      </c>
      <c r="AM8" s="363">
        <f t="shared" si="8"/>
        <v>1.0416666666666075E-3</v>
      </c>
      <c r="AO8" s="248" t="s">
        <v>368</v>
      </c>
      <c r="AP8" s="351">
        <v>24.1</v>
      </c>
      <c r="AQ8" s="363">
        <f>AP8/AP4-1</f>
        <v>5.2861511577107834E-2</v>
      </c>
      <c r="AR8" s="363">
        <f t="shared" si="9"/>
        <v>1.4736842105263159E-2</v>
      </c>
      <c r="AT8" s="248" t="s">
        <v>368</v>
      </c>
      <c r="AU8" s="95">
        <v>129711200</v>
      </c>
      <c r="AV8" s="363">
        <f>AU8/AU4-1</f>
        <v>0.1165482785809957</v>
      </c>
      <c r="AX8" s="248" t="s">
        <v>368</v>
      </c>
      <c r="AY8" s="95">
        <v>5066100</v>
      </c>
      <c r="AZ8" s="363">
        <f>AY8/AY4-1</f>
        <v>4.9164371362892645E-2</v>
      </c>
      <c r="BA8" s="363"/>
      <c r="BC8" s="248" t="s">
        <v>368</v>
      </c>
      <c r="BD8" t="s">
        <v>634</v>
      </c>
      <c r="BE8" t="s">
        <v>634</v>
      </c>
      <c r="BF8" t="s">
        <v>634</v>
      </c>
      <c r="BG8" s="118"/>
      <c r="BH8" s="118"/>
      <c r="BI8" s="118"/>
      <c r="BK8" s="360">
        <v>39600</v>
      </c>
      <c r="BL8" s="364">
        <v>12</v>
      </c>
      <c r="BM8" s="363">
        <f>BL8/BL4-1</f>
        <v>6.6666666666666652E-2</v>
      </c>
      <c r="BP8" s="350">
        <v>39600</v>
      </c>
      <c r="BQ8" s="352">
        <f t="shared" si="2"/>
        <v>30.350259753174633</v>
      </c>
      <c r="BR8" s="352">
        <f t="shared" si="3"/>
        <v>34.179608932969714</v>
      </c>
      <c r="BS8" s="352">
        <f t="shared" si="4"/>
        <v>28.57192422076206</v>
      </c>
      <c r="BV8" s="248" t="s">
        <v>368</v>
      </c>
      <c r="BW8" t="s">
        <v>634</v>
      </c>
      <c r="BX8" t="s">
        <v>634</v>
      </c>
      <c r="BY8">
        <v>963.45256600000005</v>
      </c>
      <c r="CD8" s="248" t="s">
        <v>368</v>
      </c>
      <c r="CE8" t="s">
        <v>634</v>
      </c>
      <c r="CH8">
        <v>974.83766200000002</v>
      </c>
      <c r="CI8" s="118">
        <f t="shared" si="20"/>
        <v>3.5344826742045088E-2</v>
      </c>
      <c r="CL8" s="248" t="s">
        <v>368</v>
      </c>
      <c r="CM8" t="s">
        <v>634</v>
      </c>
      <c r="CN8" t="s">
        <v>634</v>
      </c>
      <c r="CO8" t="s">
        <v>634</v>
      </c>
      <c r="CP8" s="237"/>
      <c r="CQ8" s="248" t="s">
        <v>653</v>
      </c>
      <c r="CR8">
        <v>1026</v>
      </c>
      <c r="CS8">
        <v>1024</v>
      </c>
      <c r="CT8">
        <v>1021</v>
      </c>
      <c r="CU8">
        <v>1018</v>
      </c>
      <c r="CW8" s="248" t="s">
        <v>654</v>
      </c>
      <c r="CX8">
        <v>704.771793</v>
      </c>
      <c r="CY8">
        <v>706.61192900000003</v>
      </c>
      <c r="CZ8">
        <v>701.65649499999995</v>
      </c>
      <c r="DB8" s="350">
        <v>37408</v>
      </c>
      <c r="DC8">
        <f t="shared" si="10"/>
        <v>1026</v>
      </c>
      <c r="DD8">
        <f t="shared" si="16"/>
        <v>1021</v>
      </c>
      <c r="DE8" s="89">
        <f>DC8/DC4-1</f>
        <v>2.6000000000000023E-2</v>
      </c>
      <c r="DF8" s="89">
        <f>DD8/DD4-1</f>
        <v>2.0999999999999908E-2</v>
      </c>
      <c r="DG8" s="89"/>
      <c r="DH8" s="248" t="s">
        <v>652</v>
      </c>
      <c r="DI8">
        <v>15.69</v>
      </c>
      <c r="DJ8">
        <v>13.1</v>
      </c>
      <c r="DK8">
        <v>13.88</v>
      </c>
      <c r="DM8" s="353">
        <v>32933</v>
      </c>
      <c r="DN8">
        <v>14.37</v>
      </c>
      <c r="DO8">
        <v>13.88</v>
      </c>
      <c r="DP8" s="365">
        <f t="shared" ref="DP8:DQ39" si="24">DN8/DN4-1</f>
        <v>4.6613255644573748E-2</v>
      </c>
      <c r="DQ8" s="365">
        <f t="shared" si="24"/>
        <v>6.1973986228003097E-2</v>
      </c>
      <c r="DT8" s="237"/>
      <c r="DV8" s="357">
        <v>43435</v>
      </c>
      <c r="DW8" s="358">
        <v>43435</v>
      </c>
      <c r="DX8" s="359">
        <v>43435</v>
      </c>
      <c r="DZ8" s="359">
        <v>43435</v>
      </c>
      <c r="EC8" s="350">
        <v>40330</v>
      </c>
      <c r="ED8">
        <f t="shared" si="17"/>
        <v>1001.3266609787479</v>
      </c>
      <c r="EE8">
        <f t="shared" si="11"/>
        <v>1001.326660978748</v>
      </c>
      <c r="EF8">
        <f t="shared" si="12"/>
        <v>1008.0957071379752</v>
      </c>
      <c r="EG8">
        <f t="shared" si="13"/>
        <v>1011.8490933109658</v>
      </c>
      <c r="EJ8" s="248" t="s">
        <v>655</v>
      </c>
      <c r="EK8" s="95">
        <v>41633700</v>
      </c>
      <c r="EL8" s="95">
        <v>501705100</v>
      </c>
      <c r="EN8" s="248" t="s">
        <v>655</v>
      </c>
      <c r="EO8" s="95">
        <v>2868500</v>
      </c>
      <c r="EP8" s="95">
        <v>35742600</v>
      </c>
      <c r="ER8" s="352">
        <f t="shared" si="14"/>
        <v>14.514101446749173</v>
      </c>
      <c r="ES8" s="352">
        <f t="shared" si="14"/>
        <v>14.036614571967345</v>
      </c>
      <c r="ET8" s="89">
        <f t="shared" ref="ET8:EU23" si="25">ER8/ER4-1</f>
        <v>5.4366130311517491E-2</v>
      </c>
      <c r="EU8" s="89">
        <f t="shared" si="25"/>
        <v>6.4500544863336673E-2</v>
      </c>
      <c r="EV8" s="350">
        <v>33025</v>
      </c>
      <c r="EW8" s="352">
        <f t="shared" si="21"/>
        <v>14.13362379468664</v>
      </c>
      <c r="EX8" s="352">
        <f t="shared" si="21"/>
        <v>13.669554209963746</v>
      </c>
      <c r="EY8" s="352"/>
      <c r="EZ8" s="352"/>
    </row>
    <row r="9" spans="1:156">
      <c r="A9" s="350">
        <v>39692</v>
      </c>
      <c r="B9" s="248" t="s">
        <v>372</v>
      </c>
      <c r="C9">
        <v>985.56231000000002</v>
      </c>
      <c r="D9" s="89">
        <f t="shared" ref="D9:D22" si="26">C9/C5-1</f>
        <v>5.8775509977823992E-2</v>
      </c>
      <c r="F9" s="248" t="s">
        <v>372</v>
      </c>
      <c r="G9">
        <v>984</v>
      </c>
      <c r="H9" s="89">
        <f t="shared" si="22"/>
        <v>6.7245119305856749E-2</v>
      </c>
      <c r="I9">
        <v>1001</v>
      </c>
      <c r="J9" s="89">
        <f t="shared" si="22"/>
        <v>4.2708333333333348E-2</v>
      </c>
      <c r="K9">
        <v>968</v>
      </c>
      <c r="L9" s="89">
        <f t="shared" si="22"/>
        <v>6.9613259668508398E-2</v>
      </c>
      <c r="N9" s="248" t="s">
        <v>372</v>
      </c>
      <c r="O9">
        <v>878.46655799999996</v>
      </c>
      <c r="P9" s="89">
        <f t="shared" si="18"/>
        <v>5.073170777917535E-2</v>
      </c>
      <c r="Q9" s="89">
        <f t="shared" si="15"/>
        <v>1.5080113143322249E-2</v>
      </c>
      <c r="R9" s="88">
        <f t="shared" si="0"/>
        <v>878.46655799999996</v>
      </c>
      <c r="S9" s="89">
        <f t="shared" si="18"/>
        <v>5.073170777917535E-2</v>
      </c>
      <c r="T9" s="89">
        <f t="shared" si="5"/>
        <v>1.5080113143322249E-2</v>
      </c>
      <c r="U9" s="89"/>
      <c r="V9" s="248" t="s">
        <v>372</v>
      </c>
      <c r="W9">
        <v>783.47360400000002</v>
      </c>
      <c r="X9" s="89">
        <f t="shared" si="23"/>
        <v>3.2258064346123883E-2</v>
      </c>
      <c r="Y9" s="88">
        <f t="shared" si="1"/>
        <v>783.47360400000002</v>
      </c>
      <c r="Z9" s="89">
        <f t="shared" si="19"/>
        <v>3.2258064346123883E-2</v>
      </c>
      <c r="AA9" s="89">
        <f t="shared" si="6"/>
        <v>1.3861387214861187E-2</v>
      </c>
      <c r="AB9" s="89"/>
      <c r="AC9" s="248" t="s">
        <v>372</v>
      </c>
      <c r="AD9">
        <v>34.96</v>
      </c>
      <c r="AE9">
        <v>24.18</v>
      </c>
      <c r="AF9">
        <v>26.09</v>
      </c>
      <c r="AG9" s="89">
        <f t="shared" ref="AG9:AG52" si="27">AF9/AF5-1</f>
        <v>7.101806239737285E-2</v>
      </c>
      <c r="AH9" s="89">
        <f t="shared" si="7"/>
        <v>1.9140624999999911E-2</v>
      </c>
      <c r="AJ9" s="248" t="s">
        <v>372</v>
      </c>
      <c r="AK9">
        <v>29.17</v>
      </c>
      <c r="AL9" s="89">
        <f t="shared" ref="AL9:AL47" si="28">AK9/AK5-1</f>
        <v>5.1171171171171315E-2</v>
      </c>
      <c r="AM9" s="89">
        <f t="shared" si="8"/>
        <v>1.1793270898369901E-2</v>
      </c>
      <c r="AO9" s="248" t="s">
        <v>372</v>
      </c>
      <c r="AP9" s="351">
        <v>24.48</v>
      </c>
      <c r="AQ9" s="89">
        <f t="shared" ref="AQ9:AQ47" si="29">AP9/AP5-1</f>
        <v>5.5627425614488857E-2</v>
      </c>
      <c r="AR9" s="89">
        <f t="shared" si="9"/>
        <v>1.5767634854771728E-2</v>
      </c>
      <c r="AT9" s="248" t="s">
        <v>372</v>
      </c>
      <c r="AU9" s="95">
        <v>133403000</v>
      </c>
      <c r="AV9" s="89">
        <f t="shared" ref="AV9:AV22" si="30">AU9/AU5-1</f>
        <v>0.11991934075675958</v>
      </c>
      <c r="AX9" s="248" t="s">
        <v>372</v>
      </c>
      <c r="AY9" s="95">
        <v>5112600</v>
      </c>
      <c r="AZ9" s="89">
        <f t="shared" ref="AZ9:AZ22" si="31">AY9/AY5-1</f>
        <v>4.5414579286371604E-2</v>
      </c>
      <c r="BA9" s="89"/>
      <c r="BC9" s="248" t="s">
        <v>372</v>
      </c>
      <c r="BD9" t="s">
        <v>634</v>
      </c>
      <c r="BE9" t="s">
        <v>634</v>
      </c>
      <c r="BF9" t="s">
        <v>634</v>
      </c>
      <c r="BG9" s="118"/>
      <c r="BH9" s="118"/>
      <c r="BI9" s="118"/>
      <c r="BK9" s="350">
        <v>39692</v>
      </c>
      <c r="BL9" s="352">
        <v>12</v>
      </c>
      <c r="BM9" s="118">
        <f t="shared" ref="BM9:BM60" si="32">BL9/BL5-1</f>
        <v>6.6666666666666652E-2</v>
      </c>
      <c r="BP9" s="350">
        <v>39692</v>
      </c>
      <c r="BQ9" s="352">
        <f t="shared" si="2"/>
        <v>30.471666515050195</v>
      </c>
      <c r="BR9" s="352">
        <f t="shared" si="3"/>
        <v>34.068934926945737</v>
      </c>
      <c r="BS9" s="352">
        <f t="shared" si="4"/>
        <v>28.591276208832074</v>
      </c>
      <c r="BV9" s="248" t="s">
        <v>372</v>
      </c>
      <c r="BW9" t="s">
        <v>634</v>
      </c>
      <c r="BX9" t="s">
        <v>634</v>
      </c>
      <c r="BY9">
        <v>981.33748100000003</v>
      </c>
      <c r="CD9" s="248" t="s">
        <v>372</v>
      </c>
      <c r="CE9" t="s">
        <v>634</v>
      </c>
      <c r="CH9">
        <v>985.38960999999995</v>
      </c>
      <c r="CI9" s="118">
        <f t="shared" si="20"/>
        <v>3.6720751070377755E-2</v>
      </c>
      <c r="CL9" s="248" t="s">
        <v>372</v>
      </c>
      <c r="CM9" t="s">
        <v>634</v>
      </c>
      <c r="CN9" t="s">
        <v>634</v>
      </c>
      <c r="CO9" t="s">
        <v>634</v>
      </c>
      <c r="CP9" s="237"/>
      <c r="CQ9" s="248" t="s">
        <v>656</v>
      </c>
      <c r="CR9">
        <v>1034</v>
      </c>
      <c r="CS9" t="s">
        <v>634</v>
      </c>
      <c r="CT9">
        <v>1028</v>
      </c>
      <c r="CU9" t="s">
        <v>634</v>
      </c>
      <c r="CW9" s="248" t="s">
        <v>657</v>
      </c>
      <c r="CX9">
        <v>706.86517500000002</v>
      </c>
      <c r="CY9">
        <v>708.71077600000001</v>
      </c>
      <c r="CZ9">
        <v>706.53879700000005</v>
      </c>
      <c r="DB9" s="350">
        <v>37500</v>
      </c>
      <c r="DC9">
        <f t="shared" si="10"/>
        <v>1034</v>
      </c>
      <c r="DD9">
        <f t="shared" si="16"/>
        <v>1028</v>
      </c>
      <c r="DE9" s="89">
        <f t="shared" ref="DE9:DF59" si="33">DC9/DC5-1</f>
        <v>2.6812313803376453E-2</v>
      </c>
      <c r="DF9" s="89">
        <f t="shared" si="33"/>
        <v>2.1868787276341894E-2</v>
      </c>
      <c r="DG9" s="89"/>
      <c r="DH9" s="248" t="s">
        <v>655</v>
      </c>
      <c r="DI9">
        <v>15.89</v>
      </c>
      <c r="DJ9">
        <v>13.21</v>
      </c>
      <c r="DK9">
        <v>14.04</v>
      </c>
      <c r="DM9" s="353">
        <v>33025</v>
      </c>
      <c r="DN9">
        <v>14.51</v>
      </c>
      <c r="DO9">
        <v>14.04</v>
      </c>
      <c r="DP9" s="365">
        <f t="shared" si="24"/>
        <v>5.3740014524328306E-2</v>
      </c>
      <c r="DQ9" s="365">
        <f t="shared" si="24"/>
        <v>6.4442759666413885E-2</v>
      </c>
      <c r="DR9" s="366"/>
      <c r="DS9" s="237"/>
      <c r="DT9" s="237"/>
      <c r="DV9" s="354">
        <v>86</v>
      </c>
      <c r="DW9" s="355">
        <v>86</v>
      </c>
      <c r="DX9" s="356">
        <v>86</v>
      </c>
      <c r="DZ9" s="356">
        <v>282</v>
      </c>
      <c r="EC9" s="350">
        <v>40422</v>
      </c>
      <c r="ED9">
        <f t="shared" si="17"/>
        <v>993.43024364291375</v>
      </c>
      <c r="EE9">
        <f t="shared" si="11"/>
        <v>993.43024364291375</v>
      </c>
      <c r="EF9">
        <f t="shared" si="12"/>
        <v>1014.1141741363142</v>
      </c>
      <c r="EG9">
        <f t="shared" si="13"/>
        <v>1016.8636737950685</v>
      </c>
      <c r="EJ9" s="248" t="s">
        <v>658</v>
      </c>
      <c r="EK9" s="95">
        <v>42525500</v>
      </c>
      <c r="EL9" s="95">
        <v>504236400</v>
      </c>
      <c r="EN9" s="248" t="s">
        <v>658</v>
      </c>
      <c r="EO9" s="95">
        <v>2938800</v>
      </c>
      <c r="EP9" s="95">
        <v>35606800</v>
      </c>
      <c r="ER9" s="352">
        <f t="shared" si="14"/>
        <v>14.470362052538452</v>
      </c>
      <c r="ES9" s="352">
        <f t="shared" si="14"/>
        <v>14.161238864486558</v>
      </c>
      <c r="ET9" s="89">
        <f t="shared" si="25"/>
        <v>5.3277277058298322E-2</v>
      </c>
      <c r="EU9" s="89">
        <f t="shared" si="25"/>
        <v>6.3824486040519046E-2</v>
      </c>
      <c r="EV9" s="350">
        <v>33117</v>
      </c>
      <c r="EW9" s="352">
        <f t="shared" si="21"/>
        <v>14.318939839988918</v>
      </c>
      <c r="EX9" s="352">
        <f t="shared" si="21"/>
        <v>13.881272806505228</v>
      </c>
      <c r="EY9" s="352"/>
      <c r="EZ9" s="352"/>
    </row>
    <row r="10" spans="1:156">
      <c r="A10" s="350">
        <v>39783</v>
      </c>
      <c r="B10" s="248" t="s">
        <v>376</v>
      </c>
      <c r="C10">
        <v>987.08206700000005</v>
      </c>
      <c r="D10" s="89">
        <f>C10/C6-1</f>
        <v>4.8426149928181506E-2</v>
      </c>
      <c r="F10" s="248" t="s">
        <v>376</v>
      </c>
      <c r="G10">
        <v>985</v>
      </c>
      <c r="H10" s="89">
        <f t="shared" si="22"/>
        <v>5.2350427350427386E-2</v>
      </c>
      <c r="I10">
        <v>1005</v>
      </c>
      <c r="J10" s="89">
        <f t="shared" si="22"/>
        <v>3.8223140495867725E-2</v>
      </c>
      <c r="K10">
        <v>967</v>
      </c>
      <c r="L10" s="89">
        <f t="shared" si="22"/>
        <v>5.9145673603504978E-2</v>
      </c>
      <c r="N10" s="248" t="s">
        <v>376</v>
      </c>
      <c r="O10">
        <v>874.38825399999996</v>
      </c>
      <c r="P10" s="89">
        <f t="shared" si="18"/>
        <v>3.3751204221356579E-2</v>
      </c>
      <c r="Q10" s="89">
        <f t="shared" si="15"/>
        <v>-4.6425261870924883E-3</v>
      </c>
      <c r="R10" s="88">
        <f t="shared" si="0"/>
        <v>874.38825399999996</v>
      </c>
      <c r="S10" s="89">
        <f t="shared" si="18"/>
        <v>3.3751204221356579E-2</v>
      </c>
      <c r="T10" s="89">
        <f t="shared" si="5"/>
        <v>-4.6425261870924883E-3</v>
      </c>
      <c r="U10" s="89"/>
      <c r="V10" s="248" t="s">
        <v>376</v>
      </c>
      <c r="W10">
        <v>788.06426899999997</v>
      </c>
      <c r="X10" s="89">
        <f t="shared" si="23"/>
        <v>3.4136546203184182E-2</v>
      </c>
      <c r="Y10" s="88">
        <f t="shared" si="1"/>
        <v>788.06426899999997</v>
      </c>
      <c r="Z10" s="89">
        <f t="shared" si="19"/>
        <v>3.4136546203184182E-2</v>
      </c>
      <c r="AA10" s="89">
        <f t="shared" si="6"/>
        <v>5.8593741723556025E-3</v>
      </c>
      <c r="AB10" s="89"/>
      <c r="AC10" s="248" t="s">
        <v>376</v>
      </c>
      <c r="AD10">
        <v>36.380000000000003</v>
      </c>
      <c r="AE10">
        <v>24.35</v>
      </c>
      <c r="AF10">
        <v>26.51</v>
      </c>
      <c r="AG10" s="89">
        <f>AF10/AF6-1</f>
        <v>6.8951612903225934E-2</v>
      </c>
      <c r="AH10" s="89">
        <f t="shared" si="7"/>
        <v>1.6098121885780081E-2</v>
      </c>
      <c r="AJ10" s="248" t="s">
        <v>376</v>
      </c>
      <c r="AK10">
        <v>29.29</v>
      </c>
      <c r="AL10" s="89">
        <f>AK10/AK6-1</f>
        <v>2.5201260063003161E-2</v>
      </c>
      <c r="AM10" s="89">
        <f t="shared" si="8"/>
        <v>4.1138155639355301E-3</v>
      </c>
      <c r="AO10" s="248" t="s">
        <v>376</v>
      </c>
      <c r="AP10" s="351">
        <v>24.71</v>
      </c>
      <c r="AQ10" s="89">
        <f>AP10/AP6-1</f>
        <v>5.5982905982906006E-2</v>
      </c>
      <c r="AR10" s="89">
        <f t="shared" si="9"/>
        <v>9.3954248366012738E-3</v>
      </c>
      <c r="AT10" s="248" t="s">
        <v>376</v>
      </c>
      <c r="AU10" s="95">
        <v>135940300</v>
      </c>
      <c r="AV10" s="89">
        <f>AU10/AU6-1</f>
        <v>0.12359148439546952</v>
      </c>
      <c r="AX10" s="248" t="s">
        <v>376</v>
      </c>
      <c r="AY10" s="95">
        <v>5127800</v>
      </c>
      <c r="AZ10" s="89">
        <f>AY10/AY6-1</f>
        <v>5.125261388330804E-2</v>
      </c>
      <c r="BA10" s="89">
        <f>SUM(AY7:AY10)/SUM(AY3:AY6)-1</f>
        <v>4.0396161543593267E-2</v>
      </c>
      <c r="BC10" s="248" t="s">
        <v>376</v>
      </c>
      <c r="BD10" t="s">
        <v>634</v>
      </c>
      <c r="BE10" t="s">
        <v>634</v>
      </c>
      <c r="BF10" t="s">
        <v>634</v>
      </c>
      <c r="BG10" s="118"/>
      <c r="BH10" s="118"/>
      <c r="BI10" s="118"/>
      <c r="BK10" s="350">
        <v>39783</v>
      </c>
      <c r="BL10" s="352">
        <v>12</v>
      </c>
      <c r="BM10" s="118">
        <f t="shared" si="32"/>
        <v>6.6666666666666652E-2</v>
      </c>
      <c r="BP10" s="350">
        <v>39783</v>
      </c>
      <c r="BQ10" s="352">
        <f t="shared" si="2"/>
        <v>31.106616397891369</v>
      </c>
      <c r="BR10" s="352">
        <f t="shared" si="3"/>
        <v>34.368645578809435</v>
      </c>
      <c r="BS10" s="352">
        <f t="shared" si="4"/>
        <v>28.9945111728365</v>
      </c>
      <c r="BV10" s="248" t="s">
        <v>376</v>
      </c>
      <c r="BW10" t="s">
        <v>634</v>
      </c>
      <c r="BX10" t="s">
        <v>634</v>
      </c>
      <c r="BY10">
        <v>989.89113499999996</v>
      </c>
      <c r="CD10" s="248" t="s">
        <v>376</v>
      </c>
      <c r="CE10" t="s">
        <v>634</v>
      </c>
      <c r="CH10">
        <v>991.88311699999997</v>
      </c>
      <c r="CI10" s="118">
        <f t="shared" si="20"/>
        <v>3.2094594758057982E-2</v>
      </c>
      <c r="CL10" s="248" t="s">
        <v>376</v>
      </c>
      <c r="CM10" t="s">
        <v>634</v>
      </c>
      <c r="CN10" t="s">
        <v>634</v>
      </c>
      <c r="CO10" t="s">
        <v>634</v>
      </c>
      <c r="CP10" s="237"/>
      <c r="CQ10" s="248" t="s">
        <v>659</v>
      </c>
      <c r="CR10">
        <v>1042</v>
      </c>
      <c r="CS10" t="s">
        <v>634</v>
      </c>
      <c r="CT10">
        <v>1033</v>
      </c>
      <c r="CU10" t="s">
        <v>634</v>
      </c>
      <c r="CW10" s="248" t="s">
        <v>660</v>
      </c>
      <c r="CX10">
        <v>708.95855700000004</v>
      </c>
      <c r="CY10">
        <v>710.11000799999999</v>
      </c>
      <c r="CZ10">
        <v>709.32868399999995</v>
      </c>
      <c r="DB10" s="350">
        <v>37591</v>
      </c>
      <c r="DC10">
        <f t="shared" si="10"/>
        <v>1042</v>
      </c>
      <c r="DD10">
        <f t="shared" si="16"/>
        <v>1033</v>
      </c>
      <c r="DE10" s="89">
        <f t="shared" si="33"/>
        <v>2.5590551181102317E-2</v>
      </c>
      <c r="DF10" s="89">
        <f t="shared" si="33"/>
        <v>2.1760633036597365E-2</v>
      </c>
      <c r="DG10" s="89"/>
      <c r="DH10" s="248" t="s">
        <v>658</v>
      </c>
      <c r="DI10">
        <v>16.05</v>
      </c>
      <c r="DJ10">
        <v>13.31</v>
      </c>
      <c r="DK10">
        <v>14.16</v>
      </c>
      <c r="DM10" s="353">
        <v>33117</v>
      </c>
      <c r="DN10">
        <v>14.47</v>
      </c>
      <c r="DO10">
        <v>14.16</v>
      </c>
      <c r="DP10" s="365">
        <f t="shared" si="24"/>
        <v>5.3129548762736567E-2</v>
      </c>
      <c r="DQ10" s="365">
        <f t="shared" si="24"/>
        <v>6.3861758076634079E-2</v>
      </c>
      <c r="DR10" s="366"/>
      <c r="DS10" s="237"/>
      <c r="DT10" s="237"/>
      <c r="DV10" s="347" t="s">
        <v>661</v>
      </c>
      <c r="DW10" s="348" t="s">
        <v>662</v>
      </c>
      <c r="DX10" s="349" t="s">
        <v>663</v>
      </c>
      <c r="DZ10" s="349" t="s">
        <v>664</v>
      </c>
      <c r="EC10" s="350">
        <v>40513</v>
      </c>
      <c r="ED10">
        <f t="shared" si="17"/>
        <v>974.51627129462383</v>
      </c>
      <c r="EE10">
        <f t="shared" si="11"/>
        <v>972.61477613112208</v>
      </c>
      <c r="EF10">
        <f t="shared" si="12"/>
        <v>1018.4625466616445</v>
      </c>
      <c r="EG10">
        <f t="shared" si="13"/>
        <v>1022.130263234301</v>
      </c>
      <c r="EJ10" s="248" t="s">
        <v>665</v>
      </c>
      <c r="EK10" s="95">
        <v>43526800</v>
      </c>
      <c r="EL10" s="95">
        <v>512761100</v>
      </c>
      <c r="EN10" s="248" t="s">
        <v>665</v>
      </c>
      <c r="EO10" s="95">
        <v>2950800</v>
      </c>
      <c r="EP10" s="95">
        <v>35838100</v>
      </c>
      <c r="ER10" s="352">
        <f t="shared" si="14"/>
        <v>14.750847227870407</v>
      </c>
      <c r="ES10" s="352">
        <f t="shared" si="14"/>
        <v>14.307708835010784</v>
      </c>
      <c r="ET10" s="89">
        <f t="shared" si="25"/>
        <v>5.9299502543828764E-2</v>
      </c>
      <c r="EU10" s="89">
        <f t="shared" si="25"/>
        <v>6.3457549339743347E-2</v>
      </c>
      <c r="EV10" s="350">
        <v>33208</v>
      </c>
      <c r="EW10" s="352">
        <f t="shared" si="21"/>
        <v>14.526838555171731</v>
      </c>
      <c r="EX10" s="352">
        <f t="shared" si="21"/>
        <v>14.095776979443075</v>
      </c>
      <c r="EY10" s="89">
        <f>EW10/EW6-1</f>
        <v>5.3515081735632464E-2</v>
      </c>
      <c r="EZ10" s="89">
        <f>EX10/EX6-1</f>
        <v>6.3676316096936469E-2</v>
      </c>
    </row>
    <row r="11" spans="1:156">
      <c r="A11" s="350">
        <v>39873</v>
      </c>
      <c r="B11" s="248" t="s">
        <v>380</v>
      </c>
      <c r="C11">
        <v>993.16109400000005</v>
      </c>
      <c r="D11" s="89">
        <f>C11/C7-1</f>
        <v>3.8125496289575178E-2</v>
      </c>
      <c r="F11" s="248" t="s">
        <v>380</v>
      </c>
      <c r="G11">
        <v>989</v>
      </c>
      <c r="H11" s="89">
        <f t="shared" si="22"/>
        <v>3.3437826541274918E-2</v>
      </c>
      <c r="I11">
        <v>1015</v>
      </c>
      <c r="J11" s="89">
        <f t="shared" si="22"/>
        <v>3.7832310838445737E-2</v>
      </c>
      <c r="K11">
        <v>971</v>
      </c>
      <c r="L11" s="89">
        <f t="shared" si="22"/>
        <v>5.4288816503800241E-2</v>
      </c>
      <c r="N11" s="248" t="s">
        <v>380</v>
      </c>
      <c r="O11">
        <v>876.83523700000001</v>
      </c>
      <c r="P11" s="89">
        <f t="shared" si="18"/>
        <v>2.9693487493282156E-2</v>
      </c>
      <c r="Q11" s="89">
        <f t="shared" si="15"/>
        <v>2.7985085444663937E-3</v>
      </c>
      <c r="R11" s="88">
        <f t="shared" si="0"/>
        <v>876.83523700000001</v>
      </c>
      <c r="S11" s="89">
        <f t="shared" si="18"/>
        <v>2.9693487493282156E-2</v>
      </c>
      <c r="T11" s="89">
        <f t="shared" si="5"/>
        <v>2.7985085444663937E-3</v>
      </c>
      <c r="U11" s="89"/>
      <c r="V11" s="248" t="s">
        <v>380</v>
      </c>
      <c r="W11">
        <v>794.185157</v>
      </c>
      <c r="X11" s="89">
        <f t="shared" si="23"/>
        <v>3.8000000316293914E-2</v>
      </c>
      <c r="Y11" s="88">
        <f t="shared" si="1"/>
        <v>794.185157</v>
      </c>
      <c r="Z11" s="89">
        <f t="shared" si="19"/>
        <v>3.8000000316293914E-2</v>
      </c>
      <c r="AA11" s="89">
        <f t="shared" si="6"/>
        <v>7.7669908924649089E-3</v>
      </c>
      <c r="AB11" s="89"/>
      <c r="AC11" s="248" t="s">
        <v>380</v>
      </c>
      <c r="AD11">
        <v>36.15</v>
      </c>
      <c r="AE11">
        <v>24.62</v>
      </c>
      <c r="AF11">
        <v>26.66</v>
      </c>
      <c r="AG11" s="89">
        <f>AF11/AF7-1</f>
        <v>5.1261829652996971E-2</v>
      </c>
      <c r="AH11" s="89">
        <f t="shared" si="7"/>
        <v>5.6582421727648935E-3</v>
      </c>
      <c r="AJ11" s="248" t="s">
        <v>380</v>
      </c>
      <c r="AK11">
        <v>29.88</v>
      </c>
      <c r="AL11" s="89">
        <f>AK11/AK7-1</f>
        <v>3.7499999999999867E-2</v>
      </c>
      <c r="AM11" s="89">
        <f t="shared" si="8"/>
        <v>2.014339364970974E-2</v>
      </c>
      <c r="AO11" s="248" t="s">
        <v>380</v>
      </c>
      <c r="AP11" s="351">
        <v>25.03</v>
      </c>
      <c r="AQ11" s="89">
        <f>AP11/AP7-1</f>
        <v>5.3894736842105218E-2</v>
      </c>
      <c r="AR11" s="89">
        <f t="shared" si="9"/>
        <v>1.2950222581950666E-2</v>
      </c>
      <c r="AT11" s="248" t="s">
        <v>380</v>
      </c>
      <c r="AU11" s="95">
        <v>139120900</v>
      </c>
      <c r="AV11" s="89">
        <f>AU11/AU7-1</f>
        <v>0.10422439294640751</v>
      </c>
      <c r="AX11" s="248" t="s">
        <v>380</v>
      </c>
      <c r="AY11" s="95">
        <v>5218600</v>
      </c>
      <c r="AZ11" s="89">
        <f>AY11/AY7-1</f>
        <v>5.0506270507478357E-2</v>
      </c>
      <c r="BA11" s="89">
        <f t="shared" ref="BA11:BA22" si="34">SUM(AY8:AY11)/SUM(AY4:AY7)-1</f>
        <v>4.9088409226821783E-2</v>
      </c>
      <c r="BC11" s="248" t="s">
        <v>380</v>
      </c>
      <c r="BD11" t="s">
        <v>634</v>
      </c>
      <c r="BE11" t="s">
        <v>634</v>
      </c>
      <c r="BF11" t="s">
        <v>634</v>
      </c>
      <c r="BG11" s="118"/>
      <c r="BH11" s="118"/>
      <c r="BI11" s="118"/>
      <c r="BK11" s="350">
        <v>39873</v>
      </c>
      <c r="BL11" s="352">
        <v>12</v>
      </c>
      <c r="BM11" s="118">
        <f t="shared" si="32"/>
        <v>6.6666666666666652E-2</v>
      </c>
      <c r="BP11" s="350">
        <v>39873</v>
      </c>
      <c r="BQ11" s="352">
        <f t="shared" si="2"/>
        <v>31.195324783691373</v>
      </c>
      <c r="BR11" s="352">
        <f t="shared" si="3"/>
        <v>34.963102195675098</v>
      </c>
      <c r="BS11" s="352">
        <f t="shared" si="4"/>
        <v>29.288033733525701</v>
      </c>
      <c r="BV11" s="248" t="s">
        <v>380</v>
      </c>
      <c r="BW11" t="s">
        <v>634</v>
      </c>
      <c r="BX11" t="s">
        <v>634</v>
      </c>
      <c r="BY11">
        <v>995.33437000000004</v>
      </c>
      <c r="CD11" s="248" t="s">
        <v>380</v>
      </c>
      <c r="CE11" t="s">
        <v>634</v>
      </c>
      <c r="CH11">
        <v>996.75324699999999</v>
      </c>
      <c r="CI11" s="118">
        <f t="shared" si="20"/>
        <v>3.0201342039097412E-2</v>
      </c>
      <c r="CL11" s="248" t="s">
        <v>380</v>
      </c>
      <c r="CM11" t="s">
        <v>634</v>
      </c>
      <c r="CN11" t="s">
        <v>634</v>
      </c>
      <c r="CO11" t="s">
        <v>634</v>
      </c>
      <c r="CP11" s="237"/>
      <c r="CQ11" s="248" t="s">
        <v>666</v>
      </c>
      <c r="CR11">
        <v>1049</v>
      </c>
      <c r="CS11" t="s">
        <v>634</v>
      </c>
      <c r="CT11">
        <v>1039</v>
      </c>
      <c r="CU11" t="s">
        <v>634</v>
      </c>
      <c r="CW11" s="248" t="s">
        <v>667</v>
      </c>
      <c r="CX11">
        <v>711.74973199999999</v>
      </c>
      <c r="CY11">
        <v>713.60808599999996</v>
      </c>
      <c r="CZ11">
        <v>712.11856999999998</v>
      </c>
      <c r="DB11" s="350">
        <v>37681</v>
      </c>
      <c r="DC11">
        <f t="shared" si="10"/>
        <v>1049</v>
      </c>
      <c r="DD11">
        <f t="shared" si="16"/>
        <v>1039</v>
      </c>
      <c r="DE11" s="89">
        <f t="shared" si="33"/>
        <v>2.6418786692759211E-2</v>
      </c>
      <c r="DF11" s="89">
        <f t="shared" si="33"/>
        <v>2.2637795275590511E-2</v>
      </c>
      <c r="DG11" s="89"/>
      <c r="DH11" s="248" t="s">
        <v>665</v>
      </c>
      <c r="DI11">
        <v>16.350000000000001</v>
      </c>
      <c r="DJ11">
        <v>13.48</v>
      </c>
      <c r="DK11">
        <v>14.31</v>
      </c>
      <c r="DM11" s="353">
        <v>33208</v>
      </c>
      <c r="DN11">
        <v>14.75</v>
      </c>
      <c r="DO11">
        <v>14.31</v>
      </c>
      <c r="DP11" s="365">
        <f t="shared" si="24"/>
        <v>5.8865757358219639E-2</v>
      </c>
      <c r="DQ11" s="365">
        <f t="shared" si="24"/>
        <v>6.3940520446096771E-2</v>
      </c>
      <c r="DR11" s="365">
        <f t="shared" ref="DR11:DS26" si="35">GEOMEAN(DN8:DN11)/GEOMEAN(DN4:DN7)-1</f>
        <v>5.3078148847224504E-2</v>
      </c>
      <c r="DS11" s="365">
        <f t="shared" si="35"/>
        <v>6.3554340936028852E-2</v>
      </c>
      <c r="DT11" s="237"/>
      <c r="DU11" s="367">
        <v>35674</v>
      </c>
      <c r="DV11" s="368">
        <v>66.3</v>
      </c>
      <c r="DW11" s="368">
        <v>68</v>
      </c>
      <c r="DX11" s="369">
        <v>64.3</v>
      </c>
      <c r="DY11" s="367">
        <v>17777</v>
      </c>
      <c r="DZ11" s="368">
        <v>3.7</v>
      </c>
      <c r="EC11" s="350">
        <v>40603</v>
      </c>
      <c r="ED11">
        <f t="shared" si="17"/>
        <v>974.4092501432566</v>
      </c>
      <c r="EE11">
        <f t="shared" si="11"/>
        <v>976.29581209900357</v>
      </c>
      <c r="EF11">
        <f t="shared" si="12"/>
        <v>1009.566185992737</v>
      </c>
      <c r="EG11">
        <f t="shared" si="13"/>
        <v>1012.2376551423561</v>
      </c>
      <c r="EJ11" s="248" t="s">
        <v>668</v>
      </c>
      <c r="EK11" s="95">
        <v>45138500</v>
      </c>
      <c r="EL11" s="95">
        <v>530237600</v>
      </c>
      <c r="EN11" s="248" t="s">
        <v>668</v>
      </c>
      <c r="EO11" s="95">
        <v>2965800</v>
      </c>
      <c r="EP11" s="95">
        <v>36653900</v>
      </c>
      <c r="ER11" s="352">
        <f t="shared" si="14"/>
        <v>15.219670915098792</v>
      </c>
      <c r="ES11" s="352">
        <f t="shared" si="14"/>
        <v>14.46606227441009</v>
      </c>
      <c r="ET11" s="89">
        <f t="shared" si="25"/>
        <v>5.9424900715690177E-2</v>
      </c>
      <c r="EU11" s="89">
        <f t="shared" si="25"/>
        <v>4.2054245247427735E-2</v>
      </c>
      <c r="EV11" s="350">
        <v>33298</v>
      </c>
      <c r="EW11" s="352">
        <f t="shared" si="21"/>
        <v>14.741212395192726</v>
      </c>
      <c r="EX11" s="352">
        <f t="shared" si="21"/>
        <v>14.244440056895998</v>
      </c>
      <c r="EY11" s="89">
        <f t="shared" ref="EY11:EZ26" si="36">EW11/EW7-1</f>
        <v>5.6956272711798483E-2</v>
      </c>
      <c r="EZ11" s="89">
        <f t="shared" si="36"/>
        <v>5.8485970024060974E-2</v>
      </c>
    </row>
    <row r="12" spans="1:156">
      <c r="A12" s="360">
        <v>39965</v>
      </c>
      <c r="B12" s="361" t="s">
        <v>384</v>
      </c>
      <c r="C12" s="362">
        <v>1002.279635</v>
      </c>
      <c r="D12" s="363">
        <f>C12/C8-1</f>
        <v>2.6459143701085042E-2</v>
      </c>
      <c r="F12" s="248" t="s">
        <v>384</v>
      </c>
      <c r="G12">
        <v>994</v>
      </c>
      <c r="H12" s="363">
        <f t="shared" si="22"/>
        <v>1.7400204708290623E-2</v>
      </c>
      <c r="I12">
        <v>1026</v>
      </c>
      <c r="J12" s="363">
        <f t="shared" si="22"/>
        <v>3.4274193548387011E-2</v>
      </c>
      <c r="K12">
        <v>989</v>
      </c>
      <c r="L12" s="363">
        <f t="shared" si="22"/>
        <v>3.8865546218487479E-2</v>
      </c>
      <c r="N12" s="248" t="s">
        <v>384</v>
      </c>
      <c r="O12">
        <v>881.72920099999999</v>
      </c>
      <c r="P12" s="363">
        <f t="shared" si="18"/>
        <v>1.8850141718031344E-2</v>
      </c>
      <c r="Q12" s="363">
        <f t="shared" si="15"/>
        <v>5.5813952194077032E-3</v>
      </c>
      <c r="R12" s="88">
        <f t="shared" si="0"/>
        <v>881.72920099999999</v>
      </c>
      <c r="S12" s="363">
        <f t="shared" si="18"/>
        <v>1.8850141718031344E-2</v>
      </c>
      <c r="T12" s="89">
        <f t="shared" si="5"/>
        <v>5.5813952194077032E-3</v>
      </c>
      <c r="U12" s="89"/>
      <c r="V12" s="248" t="s">
        <v>384</v>
      </c>
      <c r="W12">
        <v>801.07115499999998</v>
      </c>
      <c r="X12" s="363">
        <f t="shared" si="23"/>
        <v>3.663366362258591E-2</v>
      </c>
      <c r="Y12" s="88">
        <f t="shared" si="1"/>
        <v>801.07115499999998</v>
      </c>
      <c r="Z12" s="363">
        <f t="shared" si="19"/>
        <v>3.663366362258591E-2</v>
      </c>
      <c r="AA12" s="89">
        <f t="shared" si="6"/>
        <v>8.6705196380294502E-3</v>
      </c>
      <c r="AB12" s="89"/>
      <c r="AC12" s="248" t="s">
        <v>384</v>
      </c>
      <c r="AD12">
        <v>36.36</v>
      </c>
      <c r="AE12">
        <v>24.85</v>
      </c>
      <c r="AF12">
        <v>26.91</v>
      </c>
      <c r="AG12" s="363">
        <f>AF12/AF8-1</f>
        <v>5.1171874999999867E-2</v>
      </c>
      <c r="AH12" s="363">
        <f t="shared" si="7"/>
        <v>9.3773443360840592E-3</v>
      </c>
      <c r="AJ12" s="248" t="s">
        <v>384</v>
      </c>
      <c r="AK12">
        <v>30.04</v>
      </c>
      <c r="AL12" s="363">
        <f>AK12/AK8-1</f>
        <v>4.1970169961845327E-2</v>
      </c>
      <c r="AM12" s="363">
        <f t="shared" si="8"/>
        <v>5.3547523427042165E-3</v>
      </c>
      <c r="AO12" s="248" t="s">
        <v>384</v>
      </c>
      <c r="AP12" s="351">
        <v>25.21</v>
      </c>
      <c r="AQ12" s="363">
        <f>AP12/AP8-1</f>
        <v>4.6058091286307112E-2</v>
      </c>
      <c r="AR12" s="363">
        <f t="shared" si="9"/>
        <v>7.1913703555732678E-3</v>
      </c>
      <c r="AT12" s="248" t="s">
        <v>384</v>
      </c>
      <c r="AU12" s="95">
        <v>137269000</v>
      </c>
      <c r="AV12" s="363">
        <f>AU12/AU8-1</f>
        <v>5.8266364045664432E-2</v>
      </c>
      <c r="AX12" s="248" t="s">
        <v>384</v>
      </c>
      <c r="AY12" s="95">
        <v>5101700</v>
      </c>
      <c r="AZ12" s="363">
        <f>AY12/AY8-1</f>
        <v>7.0271017153233917E-3</v>
      </c>
      <c r="BA12" s="363">
        <f t="shared" si="34"/>
        <v>3.8309068230137244E-2</v>
      </c>
      <c r="BC12" s="248" t="s">
        <v>384</v>
      </c>
      <c r="BD12">
        <v>1000</v>
      </c>
      <c r="BE12">
        <v>1000</v>
      </c>
      <c r="BF12">
        <v>1000</v>
      </c>
      <c r="BG12" s="118"/>
      <c r="BH12" s="118"/>
      <c r="BI12" s="118"/>
      <c r="BK12" s="360">
        <v>39965</v>
      </c>
      <c r="BL12" s="364">
        <v>12.5</v>
      </c>
      <c r="BM12" s="363">
        <f t="shared" si="32"/>
        <v>4.1666666666666741E-2</v>
      </c>
      <c r="BP12" s="350">
        <v>39965</v>
      </c>
      <c r="BQ12" s="352">
        <f t="shared" si="2"/>
        <v>31.313083391915473</v>
      </c>
      <c r="BR12" s="352">
        <f t="shared" si="3"/>
        <v>34.95522203987889</v>
      </c>
      <c r="BS12" s="352">
        <f t="shared" si="4"/>
        <v>29.334925020817135</v>
      </c>
      <c r="BV12" s="248" t="s">
        <v>384</v>
      </c>
      <c r="BW12">
        <v>1000</v>
      </c>
      <c r="BX12">
        <v>1000</v>
      </c>
      <c r="BY12">
        <v>1000</v>
      </c>
      <c r="CD12" s="248" t="s">
        <v>384</v>
      </c>
      <c r="CE12">
        <v>1000</v>
      </c>
      <c r="CH12">
        <v>1000</v>
      </c>
      <c r="CI12" s="118">
        <f t="shared" si="20"/>
        <v>2.5811823835751646E-2</v>
      </c>
      <c r="CL12" s="248" t="s">
        <v>384</v>
      </c>
      <c r="CM12">
        <v>1000</v>
      </c>
      <c r="CN12">
        <v>1000</v>
      </c>
      <c r="CO12">
        <v>1000</v>
      </c>
      <c r="CQ12" s="248" t="s">
        <v>669</v>
      </c>
      <c r="CR12">
        <v>1054</v>
      </c>
      <c r="CS12">
        <v>1053</v>
      </c>
      <c r="CT12">
        <v>1044</v>
      </c>
      <c r="CU12">
        <v>1040</v>
      </c>
      <c r="CW12" s="248" t="s">
        <v>670</v>
      </c>
      <c r="CX12">
        <v>713.84311400000001</v>
      </c>
      <c r="CY12">
        <v>715.00731800000005</v>
      </c>
      <c r="CZ12">
        <v>713.51351399999999</v>
      </c>
      <c r="DB12" s="350">
        <v>37773</v>
      </c>
      <c r="DC12">
        <f t="shared" si="10"/>
        <v>1054</v>
      </c>
      <c r="DD12">
        <f t="shared" si="16"/>
        <v>1044</v>
      </c>
      <c r="DE12" s="89">
        <f t="shared" si="33"/>
        <v>2.7290448343080032E-2</v>
      </c>
      <c r="DF12" s="89">
        <f t="shared" si="33"/>
        <v>2.2526934378060748E-2</v>
      </c>
      <c r="DG12" s="89"/>
      <c r="DH12" s="248" t="s">
        <v>668</v>
      </c>
      <c r="DI12">
        <v>16.600000000000001</v>
      </c>
      <c r="DJ12">
        <v>13.64</v>
      </c>
      <c r="DK12">
        <v>14.47</v>
      </c>
      <c r="DM12" s="353">
        <v>33298</v>
      </c>
      <c r="DN12">
        <v>15.22</v>
      </c>
      <c r="DO12">
        <v>14.47</v>
      </c>
      <c r="DP12" s="365">
        <f t="shared" si="24"/>
        <v>5.9151009046624958E-2</v>
      </c>
      <c r="DQ12" s="365">
        <f t="shared" si="24"/>
        <v>4.2507204610950922E-2</v>
      </c>
      <c r="DR12" s="365">
        <f t="shared" si="35"/>
        <v>5.6217879023998663E-2</v>
      </c>
      <c r="DS12" s="365">
        <f t="shared" si="35"/>
        <v>5.8646536826189477E-2</v>
      </c>
      <c r="DU12" s="367">
        <v>35765</v>
      </c>
      <c r="DV12" s="368">
        <v>66.900000000000006</v>
      </c>
      <c r="DW12" s="368">
        <v>68.400000000000006</v>
      </c>
      <c r="DX12" s="369">
        <v>65.2</v>
      </c>
      <c r="DY12" s="367">
        <v>17868</v>
      </c>
      <c r="DZ12" s="368">
        <v>3.8</v>
      </c>
      <c r="EC12" s="350">
        <v>40695</v>
      </c>
      <c r="ED12">
        <f t="shared" si="17"/>
        <v>966.07951608811504</v>
      </c>
      <c r="EE12">
        <f t="shared" si="11"/>
        <v>967.01382896634334</v>
      </c>
      <c r="EF12">
        <f t="shared" si="12"/>
        <v>1008.743538814971</v>
      </c>
      <c r="EG12">
        <f t="shared" si="13"/>
        <v>1013.2232589243067</v>
      </c>
      <c r="EJ12" s="248" t="s">
        <v>671</v>
      </c>
      <c r="EK12" s="95">
        <v>44582500</v>
      </c>
      <c r="EL12" s="95">
        <v>515865200</v>
      </c>
      <c r="EN12" s="248" t="s">
        <v>671</v>
      </c>
      <c r="EO12" s="95">
        <v>2997500</v>
      </c>
      <c r="EP12" s="95">
        <v>35450400</v>
      </c>
      <c r="ER12" s="352">
        <f t="shared" si="14"/>
        <v>14.873227689741451</v>
      </c>
      <c r="ES12" s="352">
        <f t="shared" si="14"/>
        <v>14.551745537426941</v>
      </c>
      <c r="ET12" s="89">
        <f t="shared" si="25"/>
        <v>2.4743263942992089E-2</v>
      </c>
      <c r="EU12" s="89">
        <f t="shared" si="25"/>
        <v>3.6699088859244444E-2</v>
      </c>
      <c r="EV12" s="350">
        <v>33390</v>
      </c>
      <c r="EW12" s="352">
        <f t="shared" si="21"/>
        <v>14.82956069822575</v>
      </c>
      <c r="EX12" s="352">
        <f t="shared" si="21"/>
        <v>14.372078005311071</v>
      </c>
      <c r="EY12" s="89">
        <f t="shared" si="36"/>
        <v>4.9239806694213684E-2</v>
      </c>
      <c r="EZ12" s="89">
        <f t="shared" si="36"/>
        <v>5.1393321578494078E-2</v>
      </c>
    </row>
    <row r="13" spans="1:156">
      <c r="A13" s="350">
        <v>40057</v>
      </c>
      <c r="B13" s="248" t="s">
        <v>388</v>
      </c>
      <c r="C13">
        <v>1009.1185410000001</v>
      </c>
      <c r="D13" s="89">
        <f>C13/C9-1</f>
        <v>2.390131071469237E-2</v>
      </c>
      <c r="F13" s="248" t="s">
        <v>388</v>
      </c>
      <c r="G13">
        <v>999</v>
      </c>
      <c r="H13" s="89">
        <f t="shared" si="22"/>
        <v>1.5243902439024293E-2</v>
      </c>
      <c r="I13">
        <v>1029</v>
      </c>
      <c r="J13" s="89">
        <f t="shared" si="22"/>
        <v>2.7972027972027913E-2</v>
      </c>
      <c r="K13">
        <v>1006</v>
      </c>
      <c r="L13" s="89">
        <f t="shared" si="22"/>
        <v>3.9256198347107363E-2</v>
      </c>
      <c r="N13" s="248" t="s">
        <v>388</v>
      </c>
      <c r="O13">
        <v>893.14845000000003</v>
      </c>
      <c r="P13" s="89">
        <f t="shared" si="18"/>
        <v>1.6713091541499692E-2</v>
      </c>
      <c r="Q13" s="89">
        <f t="shared" si="15"/>
        <v>1.2950970646145255E-2</v>
      </c>
      <c r="R13" s="88">
        <f t="shared" si="0"/>
        <v>893.14845000000003</v>
      </c>
      <c r="S13" s="89">
        <f t="shared" si="18"/>
        <v>1.6713091541499692E-2</v>
      </c>
      <c r="T13" s="89">
        <f t="shared" si="5"/>
        <v>1.2950970646145255E-2</v>
      </c>
      <c r="U13" s="89"/>
      <c r="V13" s="248" t="s">
        <v>388</v>
      </c>
      <c r="W13">
        <v>812.547819</v>
      </c>
      <c r="X13" s="89">
        <f t="shared" si="23"/>
        <v>3.7109374012809671E-2</v>
      </c>
      <c r="Y13" s="88">
        <f t="shared" si="1"/>
        <v>812.547819</v>
      </c>
      <c r="Z13" s="89">
        <f t="shared" si="19"/>
        <v>3.7109374012809671E-2</v>
      </c>
      <c r="AA13" s="89">
        <f t="shared" si="6"/>
        <v>1.4326647424971917E-2</v>
      </c>
      <c r="AB13" s="89"/>
      <c r="AC13" s="248" t="s">
        <v>388</v>
      </c>
      <c r="AD13">
        <v>36.409999999999997</v>
      </c>
      <c r="AE13">
        <v>24.63</v>
      </c>
      <c r="AF13">
        <v>26.69</v>
      </c>
      <c r="AG13" s="89">
        <f>AF13/AF9-1</f>
        <v>2.2997316979685767E-2</v>
      </c>
      <c r="AH13" s="89">
        <f t="shared" si="7"/>
        <v>-8.175399479747214E-3</v>
      </c>
      <c r="AJ13" s="248" t="s">
        <v>388</v>
      </c>
      <c r="AK13">
        <v>30.45</v>
      </c>
      <c r="AL13" s="89">
        <f>AK13/AK9-1</f>
        <v>4.3880699348645802E-2</v>
      </c>
      <c r="AM13" s="89">
        <f t="shared" si="8"/>
        <v>1.3648468708388872E-2</v>
      </c>
      <c r="AO13" s="248" t="s">
        <v>388</v>
      </c>
      <c r="AP13" s="351">
        <v>25.43</v>
      </c>
      <c r="AQ13" s="89">
        <f>AP13/AP9-1</f>
        <v>3.8807189542483522E-2</v>
      </c>
      <c r="AR13" s="89">
        <f t="shared" si="9"/>
        <v>8.726695755652436E-3</v>
      </c>
      <c r="AT13" s="248" t="s">
        <v>388</v>
      </c>
      <c r="AU13" s="95">
        <v>138455700</v>
      </c>
      <c r="AV13" s="89">
        <f>AU13/AU9-1</f>
        <v>3.7875460072112288E-2</v>
      </c>
      <c r="AX13" s="248" t="s">
        <v>388</v>
      </c>
      <c r="AY13" s="95">
        <v>5187000</v>
      </c>
      <c r="AZ13" s="89">
        <f>AY13/AY9-1</f>
        <v>1.4552282595939436E-2</v>
      </c>
      <c r="BA13" s="89">
        <f t="shared" si="34"/>
        <v>3.0508085216887526E-2</v>
      </c>
      <c r="BC13" s="248" t="s">
        <v>388</v>
      </c>
      <c r="BD13">
        <v>1006</v>
      </c>
      <c r="BE13">
        <v>1006</v>
      </c>
      <c r="BF13" t="s">
        <v>634</v>
      </c>
      <c r="BG13" s="118"/>
      <c r="BH13" s="118"/>
      <c r="BI13" s="118"/>
      <c r="BJ13" s="118">
        <f>BD13/BD12-1</f>
        <v>6.0000000000000053E-3</v>
      </c>
      <c r="BK13" s="350">
        <v>40057</v>
      </c>
      <c r="BL13" s="352">
        <v>12.5</v>
      </c>
      <c r="BM13" s="118">
        <f t="shared" si="32"/>
        <v>4.1666666666666741E-2</v>
      </c>
      <c r="BP13" s="350">
        <v>40057</v>
      </c>
      <c r="BQ13" s="352">
        <f t="shared" si="2"/>
        <v>30.660009542646581</v>
      </c>
      <c r="BR13" s="352">
        <f t="shared" si="3"/>
        <v>34.979291516432681</v>
      </c>
      <c r="BS13" s="352">
        <f t="shared" si="4"/>
        <v>29.212590583345914</v>
      </c>
      <c r="BV13" s="248" t="s">
        <v>388</v>
      </c>
      <c r="BW13">
        <v>1002</v>
      </c>
      <c r="BX13">
        <v>1007</v>
      </c>
      <c r="BY13">
        <v>1011</v>
      </c>
      <c r="CD13" s="248" t="s">
        <v>388</v>
      </c>
      <c r="CE13">
        <v>1005</v>
      </c>
      <c r="CG13" s="118">
        <f t="shared" ref="CG13:CG56" si="37">CE13/CE12-1</f>
        <v>4.9999999999998934E-3</v>
      </c>
      <c r="CH13">
        <v>1004</v>
      </c>
      <c r="CI13" s="118">
        <f t="shared" si="20"/>
        <v>1.88863265972532E-2</v>
      </c>
      <c r="CJ13" s="118">
        <f t="shared" ref="CJ13:CJ50" si="38">CH13/CH12-1</f>
        <v>4.0000000000000036E-3</v>
      </c>
      <c r="CL13" s="248" t="s">
        <v>388</v>
      </c>
      <c r="CM13">
        <v>1002</v>
      </c>
      <c r="CN13">
        <v>1006</v>
      </c>
      <c r="CO13">
        <v>1007</v>
      </c>
      <c r="CQ13" s="248" t="s">
        <v>672</v>
      </c>
      <c r="CR13">
        <v>1064</v>
      </c>
      <c r="CS13" t="s">
        <v>634</v>
      </c>
      <c r="CT13">
        <v>1052</v>
      </c>
      <c r="CU13" t="s">
        <v>634</v>
      </c>
      <c r="CW13" s="248" t="s">
        <v>673</v>
      </c>
      <c r="CX13">
        <v>715.93649500000004</v>
      </c>
      <c r="CY13">
        <v>717.80578100000002</v>
      </c>
      <c r="CZ13">
        <v>719.09328700000003</v>
      </c>
      <c r="DB13" s="350">
        <v>37865</v>
      </c>
      <c r="DC13">
        <f t="shared" si="10"/>
        <v>1064</v>
      </c>
      <c r="DD13">
        <f t="shared" si="16"/>
        <v>1052</v>
      </c>
      <c r="DE13" s="89">
        <f t="shared" si="33"/>
        <v>2.9013539651837617E-2</v>
      </c>
      <c r="DF13" s="89">
        <f t="shared" si="33"/>
        <v>2.3346303501945442E-2</v>
      </c>
      <c r="DG13" s="89"/>
      <c r="DH13" s="248" t="s">
        <v>671</v>
      </c>
      <c r="DI13">
        <v>16.64</v>
      </c>
      <c r="DJ13">
        <v>13.72</v>
      </c>
      <c r="DK13">
        <v>14.55</v>
      </c>
      <c r="DM13" s="353">
        <v>33390</v>
      </c>
      <c r="DN13">
        <v>14.87</v>
      </c>
      <c r="DO13">
        <v>14.55</v>
      </c>
      <c r="DP13" s="365">
        <f t="shared" si="24"/>
        <v>2.4810475534114307E-2</v>
      </c>
      <c r="DQ13" s="365">
        <f t="shared" si="24"/>
        <v>3.6324786324786418E-2</v>
      </c>
      <c r="DR13" s="365">
        <f t="shared" si="35"/>
        <v>4.8892634340687025E-2</v>
      </c>
      <c r="DS13" s="365">
        <f t="shared" si="35"/>
        <v>5.158498022783653E-2</v>
      </c>
      <c r="DU13" s="367">
        <v>35855</v>
      </c>
      <c r="DV13" s="368">
        <v>67.400000000000006</v>
      </c>
      <c r="DW13" s="368">
        <v>68.599999999999994</v>
      </c>
      <c r="DX13" s="369">
        <v>66</v>
      </c>
      <c r="DY13" s="367">
        <v>17958</v>
      </c>
      <c r="DZ13" s="368">
        <v>3.9</v>
      </c>
      <c r="EC13" s="350">
        <v>40787</v>
      </c>
      <c r="ED13">
        <f t="shared" si="17"/>
        <v>966.57401086098412</v>
      </c>
      <c r="EE13">
        <f t="shared" si="11"/>
        <v>966.57401086098412</v>
      </c>
      <c r="EF13">
        <f t="shared" si="12"/>
        <v>1011.8862849338641</v>
      </c>
      <c r="EG13">
        <f t="shared" si="13"/>
        <v>1013.5641470502703</v>
      </c>
      <c r="EJ13" s="248" t="s">
        <v>674</v>
      </c>
      <c r="EK13" s="95">
        <v>45233000</v>
      </c>
      <c r="EL13" s="95">
        <v>498869500</v>
      </c>
      <c r="EN13" s="248" t="s">
        <v>674</v>
      </c>
      <c r="EO13" s="95">
        <v>2996300</v>
      </c>
      <c r="EP13" s="95">
        <v>34067300</v>
      </c>
      <c r="ER13" s="352">
        <f t="shared" si="14"/>
        <v>15.096285418683042</v>
      </c>
      <c r="ES13" s="352">
        <f t="shared" si="14"/>
        <v>14.643646546688467</v>
      </c>
      <c r="ET13" s="89">
        <f t="shared" si="25"/>
        <v>4.3255542872528752E-2</v>
      </c>
      <c r="EU13" s="89">
        <f t="shared" si="25"/>
        <v>3.4065358745673624E-2</v>
      </c>
      <c r="EV13" s="350">
        <v>33482</v>
      </c>
      <c r="EW13" s="352">
        <f t="shared" si="21"/>
        <v>14.985290166577109</v>
      </c>
      <c r="EX13" s="352">
        <f t="shared" si="21"/>
        <v>14.49009046565129</v>
      </c>
      <c r="EY13" s="89">
        <f t="shared" si="36"/>
        <v>4.6536289280806553E-2</v>
      </c>
      <c r="EZ13" s="89">
        <f t="shared" si="36"/>
        <v>4.3858921846183341E-2</v>
      </c>
    </row>
    <row r="14" spans="1:156">
      <c r="A14" s="350">
        <v>40148</v>
      </c>
      <c r="B14" s="248" t="s">
        <v>392</v>
      </c>
      <c r="C14">
        <v>999.24012200000004</v>
      </c>
      <c r="D14" s="89">
        <f t="shared" si="26"/>
        <v>1.2317167342480007E-2</v>
      </c>
      <c r="F14" s="248" t="s">
        <v>392</v>
      </c>
      <c r="G14">
        <v>992</v>
      </c>
      <c r="H14" s="89">
        <f t="shared" si="22"/>
        <v>7.1065989847716171E-3</v>
      </c>
      <c r="I14">
        <v>1017</v>
      </c>
      <c r="J14" s="89">
        <f t="shared" si="22"/>
        <v>1.1940298507462588E-2</v>
      </c>
      <c r="K14">
        <v>991</v>
      </c>
      <c r="L14" s="89">
        <f t="shared" si="22"/>
        <v>2.4819027921406445E-2</v>
      </c>
      <c r="N14" s="248" t="s">
        <v>392</v>
      </c>
      <c r="O14">
        <v>891.51712899999995</v>
      </c>
      <c r="P14" s="89">
        <f t="shared" si="18"/>
        <v>1.9589552949323963E-2</v>
      </c>
      <c r="Q14" s="89">
        <f t="shared" si="15"/>
        <v>-1.8264836041534949E-3</v>
      </c>
      <c r="R14" s="88">
        <f t="shared" si="0"/>
        <v>891.51712899999995</v>
      </c>
      <c r="S14" s="89">
        <f t="shared" si="18"/>
        <v>1.9589552949323963E-2</v>
      </c>
      <c r="T14" s="89">
        <f t="shared" si="5"/>
        <v>-1.8264836041534949E-3</v>
      </c>
      <c r="U14" s="89"/>
      <c r="V14" s="248" t="s">
        <v>392</v>
      </c>
      <c r="W14">
        <v>817.13848499999995</v>
      </c>
      <c r="X14" s="89">
        <f t="shared" si="23"/>
        <v>3.6893204201344121E-2</v>
      </c>
      <c r="Y14" s="88">
        <f t="shared" si="1"/>
        <v>817.13848499999995</v>
      </c>
      <c r="Z14" s="89">
        <f t="shared" si="19"/>
        <v>3.6893204201344121E-2</v>
      </c>
      <c r="AA14" s="89">
        <f t="shared" si="6"/>
        <v>5.6497179521688423E-3</v>
      </c>
      <c r="AB14" s="89"/>
      <c r="AC14" s="248" t="s">
        <v>392</v>
      </c>
      <c r="AD14">
        <v>36.68</v>
      </c>
      <c r="AE14">
        <v>25.1</v>
      </c>
      <c r="AF14">
        <v>27.18</v>
      </c>
      <c r="AG14" s="89">
        <f t="shared" si="27"/>
        <v>2.5273481705016865E-2</v>
      </c>
      <c r="AH14" s="89">
        <f t="shared" si="7"/>
        <v>1.8358935931060305E-2</v>
      </c>
      <c r="AJ14" s="248" t="s">
        <v>392</v>
      </c>
      <c r="AK14">
        <v>30.78</v>
      </c>
      <c r="AL14" s="89">
        <f t="shared" si="28"/>
        <v>5.0870604301809452E-2</v>
      </c>
      <c r="AM14" s="89">
        <f t="shared" si="8"/>
        <v>1.0837438423645374E-2</v>
      </c>
      <c r="AO14" s="248" t="s">
        <v>392</v>
      </c>
      <c r="AP14" s="351">
        <v>25.39</v>
      </c>
      <c r="AQ14" s="89">
        <f t="shared" si="29"/>
        <v>2.7519222986644998E-2</v>
      </c>
      <c r="AR14" s="89">
        <f t="shared" si="9"/>
        <v>-1.5729453401494009E-3</v>
      </c>
      <c r="AT14" s="248" t="s">
        <v>392</v>
      </c>
      <c r="AU14" s="95">
        <v>142344700</v>
      </c>
      <c r="AV14" s="89">
        <f t="shared" si="30"/>
        <v>4.7111857190251794E-2</v>
      </c>
      <c r="AX14" s="248" t="s">
        <v>392</v>
      </c>
      <c r="AY14" s="95">
        <v>5237700</v>
      </c>
      <c r="AZ14" s="89">
        <f t="shared" si="31"/>
        <v>2.1432193143258393E-2</v>
      </c>
      <c r="BA14" s="89">
        <f t="shared" si="34"/>
        <v>2.3221631433052892E-2</v>
      </c>
      <c r="BC14" s="248" t="s">
        <v>392</v>
      </c>
      <c r="BD14">
        <v>1011</v>
      </c>
      <c r="BE14">
        <v>1011</v>
      </c>
      <c r="BF14" t="s">
        <v>634</v>
      </c>
      <c r="BG14" s="118"/>
      <c r="BH14" s="118"/>
      <c r="BI14" s="118"/>
      <c r="BJ14" s="118">
        <f>BD14/BD13-1</f>
        <v>4.9701789264413598E-3</v>
      </c>
      <c r="BK14" s="350">
        <v>40148</v>
      </c>
      <c r="BL14" s="352">
        <v>12.5</v>
      </c>
      <c r="BM14" s="118">
        <f t="shared" si="32"/>
        <v>4.1666666666666741E-2</v>
      </c>
      <c r="BP14" s="350">
        <v>40148</v>
      </c>
      <c r="BQ14" s="352">
        <f t="shared" si="2"/>
        <v>31.280027150213062</v>
      </c>
      <c r="BR14" s="352">
        <f t="shared" si="3"/>
        <v>35.423077103883671</v>
      </c>
      <c r="BS14" s="352">
        <f t="shared" si="4"/>
        <v>29.220010645471291</v>
      </c>
      <c r="BV14" s="248" t="s">
        <v>392</v>
      </c>
      <c r="BW14">
        <v>1003</v>
      </c>
      <c r="BX14">
        <v>1014</v>
      </c>
      <c r="BY14">
        <v>1014</v>
      </c>
      <c r="CD14" s="248" t="s">
        <v>392</v>
      </c>
      <c r="CE14">
        <v>1008</v>
      </c>
      <c r="CG14" s="118">
        <f t="shared" si="37"/>
        <v>2.9850746268655914E-3</v>
      </c>
      <c r="CH14">
        <v>1007</v>
      </c>
      <c r="CI14" s="118">
        <f t="shared" si="20"/>
        <v>1.5240589078400424E-2</v>
      </c>
      <c r="CJ14" s="118">
        <f t="shared" si="38"/>
        <v>2.9880478087649376E-3</v>
      </c>
      <c r="CL14" s="248" t="s">
        <v>392</v>
      </c>
      <c r="CM14">
        <v>1003</v>
      </c>
      <c r="CN14">
        <v>1011</v>
      </c>
      <c r="CO14">
        <v>1014</v>
      </c>
      <c r="CQ14" s="248" t="s">
        <v>675</v>
      </c>
      <c r="CR14">
        <v>1069</v>
      </c>
      <c r="CS14" t="s">
        <v>634</v>
      </c>
      <c r="CT14">
        <v>1058</v>
      </c>
      <c r="CU14" t="s">
        <v>634</v>
      </c>
      <c r="CW14" s="248" t="s">
        <v>676</v>
      </c>
      <c r="CX14">
        <v>718.02987700000006</v>
      </c>
      <c r="CY14">
        <v>719.904628</v>
      </c>
      <c r="CZ14">
        <v>723.27811699999995</v>
      </c>
      <c r="DB14" s="350">
        <v>37956</v>
      </c>
      <c r="DC14">
        <f t="shared" si="10"/>
        <v>1069</v>
      </c>
      <c r="DD14">
        <f t="shared" si="16"/>
        <v>1058</v>
      </c>
      <c r="DE14" s="89">
        <f t="shared" si="33"/>
        <v>2.5911708253358867E-2</v>
      </c>
      <c r="DF14" s="89">
        <f t="shared" si="33"/>
        <v>2.4201355275895509E-2</v>
      </c>
      <c r="DG14" s="89"/>
      <c r="DH14" s="248" t="s">
        <v>674</v>
      </c>
      <c r="DI14">
        <v>16.77</v>
      </c>
      <c r="DJ14">
        <v>13.76</v>
      </c>
      <c r="DK14">
        <v>14.64</v>
      </c>
      <c r="DM14" s="353">
        <v>33482</v>
      </c>
      <c r="DN14">
        <v>15.1</v>
      </c>
      <c r="DO14">
        <v>14.64</v>
      </c>
      <c r="DP14" s="365">
        <f t="shared" si="24"/>
        <v>4.3538355217691782E-2</v>
      </c>
      <c r="DQ14" s="365">
        <f t="shared" si="24"/>
        <v>3.3898305084745894E-2</v>
      </c>
      <c r="DR14" s="365">
        <f t="shared" si="35"/>
        <v>4.6496282962743551E-2</v>
      </c>
      <c r="DS14" s="365">
        <f t="shared" si="35"/>
        <v>4.410104595822939E-2</v>
      </c>
      <c r="DU14" s="367">
        <v>35947</v>
      </c>
      <c r="DV14" s="368">
        <v>67.599999999999994</v>
      </c>
      <c r="DW14" s="368">
        <v>68.8</v>
      </c>
      <c r="DX14" s="369">
        <v>66.3</v>
      </c>
      <c r="DY14" s="367">
        <v>18050</v>
      </c>
      <c r="DZ14" s="368">
        <v>4</v>
      </c>
      <c r="EC14" s="350">
        <v>40878</v>
      </c>
      <c r="ED14">
        <f t="shared" si="17"/>
        <v>973.6468056417001</v>
      </c>
      <c r="EE14">
        <f t="shared" si="11"/>
        <v>970.84628750466743</v>
      </c>
      <c r="EF14">
        <f t="shared" si="12"/>
        <v>1018.3314205066911</v>
      </c>
      <c r="EG14">
        <f t="shared" si="13"/>
        <v>1021.8343894106082</v>
      </c>
      <c r="EJ14" s="248" t="s">
        <v>677</v>
      </c>
      <c r="EK14" s="95">
        <v>44675000</v>
      </c>
      <c r="EL14" s="95">
        <v>504396600</v>
      </c>
      <c r="EN14" s="248" t="s">
        <v>677</v>
      </c>
      <c r="EO14" s="95">
        <v>2966400</v>
      </c>
      <c r="EP14" s="95">
        <v>34273000</v>
      </c>
      <c r="ER14" s="352">
        <f t="shared" si="14"/>
        <v>15.060342502696871</v>
      </c>
      <c r="ES14" s="352">
        <f t="shared" si="14"/>
        <v>14.717025063461033</v>
      </c>
      <c r="ET14" s="89">
        <f t="shared" si="25"/>
        <v>2.0981525335148188E-2</v>
      </c>
      <c r="EU14" s="89">
        <f t="shared" si="25"/>
        <v>2.8608090447623358E-2</v>
      </c>
      <c r="EV14" s="350">
        <v>33573</v>
      </c>
      <c r="EW14" s="352">
        <f t="shared" si="21"/>
        <v>15.061965453630723</v>
      </c>
      <c r="EX14" s="352">
        <f t="shared" si="21"/>
        <v>14.592009233534077</v>
      </c>
      <c r="EY14" s="89">
        <f t="shared" si="36"/>
        <v>3.683712023277641E-2</v>
      </c>
      <c r="EZ14" s="89">
        <f t="shared" si="36"/>
        <v>3.5204320756116791E-2</v>
      </c>
    </row>
    <row r="15" spans="1:156">
      <c r="A15" s="350">
        <v>40238</v>
      </c>
      <c r="B15" s="248" t="s">
        <v>396</v>
      </c>
      <c r="C15">
        <v>1002.279635</v>
      </c>
      <c r="D15" s="89">
        <f t="shared" si="26"/>
        <v>9.1813312614519305E-3</v>
      </c>
      <c r="F15" s="248" t="s">
        <v>396</v>
      </c>
      <c r="G15">
        <v>995</v>
      </c>
      <c r="H15" s="89">
        <f t="shared" si="22"/>
        <v>6.0667340748230547E-3</v>
      </c>
      <c r="I15">
        <v>1018</v>
      </c>
      <c r="J15" s="89">
        <f t="shared" si="22"/>
        <v>2.9556650246305161E-3</v>
      </c>
      <c r="K15">
        <v>996</v>
      </c>
      <c r="L15" s="89">
        <f t="shared" si="22"/>
        <v>2.5746652935118464E-2</v>
      </c>
      <c r="N15" s="248" t="s">
        <v>396</v>
      </c>
      <c r="O15">
        <v>894.77977199999998</v>
      </c>
      <c r="P15" s="89">
        <f t="shared" si="18"/>
        <v>2.0465116184649856E-2</v>
      </c>
      <c r="Q15" s="89">
        <f t="shared" si="15"/>
        <v>3.6596526234551341E-3</v>
      </c>
      <c r="R15" s="88">
        <f t="shared" si="0"/>
        <v>894.77977199999998</v>
      </c>
      <c r="S15" s="89">
        <f t="shared" si="18"/>
        <v>2.0465116184649856E-2</v>
      </c>
      <c r="T15" s="89">
        <f t="shared" si="5"/>
        <v>3.6596526234551341E-3</v>
      </c>
      <c r="U15" s="89"/>
      <c r="V15" s="248" t="s">
        <v>396</v>
      </c>
      <c r="W15">
        <v>824.78959399999997</v>
      </c>
      <c r="X15" s="89">
        <f t="shared" si="23"/>
        <v>3.8535644654461798E-2</v>
      </c>
      <c r="Y15" s="88">
        <f t="shared" si="1"/>
        <v>824.78959399999997</v>
      </c>
      <c r="Z15" s="89">
        <f t="shared" si="19"/>
        <v>3.8535644654461798E-2</v>
      </c>
      <c r="AA15" s="89">
        <f t="shared" si="6"/>
        <v>9.3632953782614159E-3</v>
      </c>
      <c r="AB15" s="89"/>
      <c r="AC15" s="248" t="s">
        <v>396</v>
      </c>
      <c r="AD15">
        <v>36.47</v>
      </c>
      <c r="AE15">
        <v>25.23</v>
      </c>
      <c r="AF15">
        <v>27.23</v>
      </c>
      <c r="AG15" s="89">
        <f t="shared" si="27"/>
        <v>2.1380345086271513E-2</v>
      </c>
      <c r="AH15" s="89">
        <f t="shared" si="7"/>
        <v>1.8395879323032105E-3</v>
      </c>
      <c r="AJ15" s="248" t="s">
        <v>396</v>
      </c>
      <c r="AK15">
        <v>30.55</v>
      </c>
      <c r="AL15" s="89">
        <f t="shared" si="28"/>
        <v>2.2423025435073685E-2</v>
      </c>
      <c r="AM15" s="89">
        <f t="shared" si="8"/>
        <v>-7.4723846653671488E-3</v>
      </c>
      <c r="AO15" s="248" t="s">
        <v>396</v>
      </c>
      <c r="AP15" s="351">
        <v>25.3</v>
      </c>
      <c r="AQ15" s="89">
        <f t="shared" si="29"/>
        <v>1.0787055533360013E-2</v>
      </c>
      <c r="AR15" s="89">
        <f t="shared" si="9"/>
        <v>-3.5447026388342184E-3</v>
      </c>
      <c r="AT15" s="248" t="s">
        <v>396</v>
      </c>
      <c r="AU15" s="95">
        <v>146186000</v>
      </c>
      <c r="AV15" s="89">
        <f t="shared" si="30"/>
        <v>5.0783886533223965E-2</v>
      </c>
      <c r="AX15" s="248" t="s">
        <v>396</v>
      </c>
      <c r="AY15" s="95">
        <v>5368100</v>
      </c>
      <c r="AZ15" s="89">
        <f t="shared" si="31"/>
        <v>2.8647529988885978E-2</v>
      </c>
      <c r="BA15" s="89">
        <f t="shared" si="34"/>
        <v>1.7997476260773304E-2</v>
      </c>
      <c r="BC15" s="248" t="s">
        <v>396</v>
      </c>
      <c r="BD15">
        <v>1015</v>
      </c>
      <c r="BE15">
        <v>1015</v>
      </c>
      <c r="BF15" t="s">
        <v>634</v>
      </c>
      <c r="BG15" s="118"/>
      <c r="BH15" s="118"/>
      <c r="BI15" s="118"/>
      <c r="BJ15" s="118">
        <f>BD15/BD14-1</f>
        <v>3.9564787339267937E-3</v>
      </c>
      <c r="BK15" s="350">
        <v>40238</v>
      </c>
      <c r="BL15" s="352">
        <v>12.5</v>
      </c>
      <c r="BM15" s="118">
        <f t="shared" si="32"/>
        <v>4.1666666666666741E-2</v>
      </c>
      <c r="BP15" s="350">
        <v>40238</v>
      </c>
      <c r="BQ15" s="352">
        <f t="shared" si="2"/>
        <v>31.223303067696083</v>
      </c>
      <c r="BR15" s="352">
        <f t="shared" si="3"/>
        <v>35.030183941172062</v>
      </c>
      <c r="BS15" s="352">
        <f t="shared" si="4"/>
        <v>29.010266897271791</v>
      </c>
      <c r="BV15" s="248" t="s">
        <v>396</v>
      </c>
      <c r="BW15">
        <v>1008</v>
      </c>
      <c r="BX15">
        <v>1017</v>
      </c>
      <c r="BY15">
        <v>1019</v>
      </c>
      <c r="CD15" s="248" t="s">
        <v>396</v>
      </c>
      <c r="CE15">
        <v>1013</v>
      </c>
      <c r="CF15" s="118"/>
      <c r="CG15" s="118">
        <f t="shared" si="37"/>
        <v>4.9603174603174427E-3</v>
      </c>
      <c r="CH15">
        <v>1010</v>
      </c>
      <c r="CI15" s="118">
        <f t="shared" si="20"/>
        <v>1.3289902029283374E-2</v>
      </c>
      <c r="CJ15" s="118">
        <f t="shared" si="38"/>
        <v>2.9791459781529639E-3</v>
      </c>
      <c r="CL15" s="248" t="s">
        <v>396</v>
      </c>
      <c r="CM15">
        <v>1007</v>
      </c>
      <c r="CN15">
        <v>1015</v>
      </c>
      <c r="CO15">
        <v>1017</v>
      </c>
      <c r="CQ15" s="248" t="s">
        <v>678</v>
      </c>
      <c r="CR15">
        <v>1076</v>
      </c>
      <c r="CS15" t="s">
        <v>634</v>
      </c>
      <c r="CT15">
        <v>1062</v>
      </c>
      <c r="CU15" t="s">
        <v>634</v>
      </c>
      <c r="CW15" s="248" t="s">
        <v>679</v>
      </c>
      <c r="CX15">
        <v>722.21663999999998</v>
      </c>
      <c r="CY15">
        <v>724.10232299999996</v>
      </c>
      <c r="CZ15">
        <v>727.46294699999999</v>
      </c>
      <c r="DB15" s="350">
        <v>38047</v>
      </c>
      <c r="DC15">
        <f t="shared" si="10"/>
        <v>1076</v>
      </c>
      <c r="DD15">
        <f t="shared" si="16"/>
        <v>1062</v>
      </c>
      <c r="DE15" s="89">
        <f t="shared" si="33"/>
        <v>2.5738798856053346E-2</v>
      </c>
      <c r="DF15" s="89">
        <f t="shared" si="33"/>
        <v>2.2136669874879722E-2</v>
      </c>
      <c r="DG15" s="89"/>
      <c r="DH15" s="248" t="s">
        <v>677</v>
      </c>
      <c r="DI15">
        <v>16.829999999999998</v>
      </c>
      <c r="DJ15">
        <v>13.86</v>
      </c>
      <c r="DK15">
        <v>14.72</v>
      </c>
      <c r="DM15" s="353">
        <v>33573</v>
      </c>
      <c r="DN15">
        <v>15.06</v>
      </c>
      <c r="DO15">
        <v>14.72</v>
      </c>
      <c r="DP15" s="365">
        <f t="shared" si="24"/>
        <v>2.1016949152542486E-2</v>
      </c>
      <c r="DQ15" s="365">
        <f t="shared" si="24"/>
        <v>2.8651292802236217E-2</v>
      </c>
      <c r="DR15" s="365">
        <f t="shared" si="35"/>
        <v>3.7016584793878593E-2</v>
      </c>
      <c r="DS15" s="365">
        <f t="shared" si="35"/>
        <v>3.5333430745519312E-2</v>
      </c>
      <c r="DU15" s="367">
        <v>36039</v>
      </c>
      <c r="DV15" s="368">
        <v>68.5</v>
      </c>
      <c r="DW15" s="368">
        <v>69.599999999999994</v>
      </c>
      <c r="DX15" s="369">
        <v>67.3</v>
      </c>
      <c r="DY15" s="367">
        <v>18142</v>
      </c>
      <c r="DZ15" s="368">
        <v>4.0999999999999996</v>
      </c>
      <c r="EC15" s="350">
        <v>40969</v>
      </c>
      <c r="ED15">
        <f t="shared" si="17"/>
        <v>972.34278339715161</v>
      </c>
      <c r="EE15">
        <f t="shared" si="11"/>
        <v>970.48539508120666</v>
      </c>
      <c r="EF15">
        <f t="shared" si="12"/>
        <v>1023.7507537210802</v>
      </c>
      <c r="EG15">
        <f t="shared" si="13"/>
        <v>1025.4015120747599</v>
      </c>
      <c r="EJ15" s="248" t="s">
        <v>680</v>
      </c>
      <c r="EK15" s="95">
        <v>45910800</v>
      </c>
      <c r="EL15" s="95">
        <v>523422000</v>
      </c>
      <c r="EN15" s="248" t="s">
        <v>680</v>
      </c>
      <c r="EO15" s="95">
        <v>2948500</v>
      </c>
      <c r="EP15" s="95">
        <v>35299500</v>
      </c>
      <c r="ER15" s="352">
        <f t="shared" si="14"/>
        <v>15.570900457859929</v>
      </c>
      <c r="ES15" s="352">
        <f t="shared" si="14"/>
        <v>14.828028725619344</v>
      </c>
      <c r="ET15" s="89">
        <f t="shared" si="25"/>
        <v>2.3077341469498913E-2</v>
      </c>
      <c r="EU15" s="89">
        <f t="shared" si="25"/>
        <v>2.5021767799904948E-2</v>
      </c>
      <c r="EV15" s="350">
        <v>33664</v>
      </c>
      <c r="EW15" s="352">
        <f t="shared" si="21"/>
        <v>15.148698010698061</v>
      </c>
      <c r="EX15" s="352">
        <f t="shared" si="21"/>
        <v>14.685098590698697</v>
      </c>
      <c r="EY15" s="89">
        <f t="shared" si="36"/>
        <v>2.7642612058029981E-2</v>
      </c>
      <c r="EZ15" s="89">
        <f t="shared" si="36"/>
        <v>3.0935476020299335E-2</v>
      </c>
    </row>
    <row r="16" spans="1:156">
      <c r="A16" s="360">
        <v>40330</v>
      </c>
      <c r="B16" s="361" t="s">
        <v>400</v>
      </c>
      <c r="C16" s="362">
        <v>1001.519757</v>
      </c>
      <c r="D16" s="363">
        <f t="shared" si="26"/>
        <v>-7.5814969541898591E-4</v>
      </c>
      <c r="F16" s="248" t="s">
        <v>400</v>
      </c>
      <c r="G16">
        <v>999</v>
      </c>
      <c r="H16" s="363">
        <f t="shared" si="22"/>
        <v>5.0301810865192031E-3</v>
      </c>
      <c r="I16">
        <v>1009</v>
      </c>
      <c r="J16" s="363">
        <f t="shared" si="22"/>
        <v>-1.6569200779727122E-2</v>
      </c>
      <c r="K16">
        <v>996</v>
      </c>
      <c r="L16" s="363">
        <f t="shared" si="22"/>
        <v>7.0778564206268602E-3</v>
      </c>
      <c r="N16" s="248" t="s">
        <v>400</v>
      </c>
      <c r="O16">
        <v>896.41109300000005</v>
      </c>
      <c r="P16" s="363">
        <f t="shared" si="18"/>
        <v>1.6651248459673029E-2</v>
      </c>
      <c r="Q16" s="363">
        <f t="shared" si="15"/>
        <v>1.8231536418773509E-3</v>
      </c>
      <c r="R16" s="88">
        <f t="shared" si="0"/>
        <v>896.41109300000005</v>
      </c>
      <c r="S16" s="363">
        <f t="shared" si="18"/>
        <v>1.6651248459673029E-2</v>
      </c>
      <c r="T16" s="89">
        <f t="shared" si="5"/>
        <v>1.8231536418773509E-3</v>
      </c>
      <c r="U16" s="89"/>
      <c r="V16" s="248" t="s">
        <v>400</v>
      </c>
      <c r="W16">
        <v>830.910482</v>
      </c>
      <c r="X16" s="363">
        <f t="shared" si="23"/>
        <v>3.7249284053924026E-2</v>
      </c>
      <c r="Y16" s="88">
        <f t="shared" si="1"/>
        <v>830.910482</v>
      </c>
      <c r="Z16" s="363">
        <f t="shared" si="19"/>
        <v>3.7249284053924026E-2</v>
      </c>
      <c r="AA16" s="89">
        <f t="shared" si="6"/>
        <v>7.4211508541413007E-3</v>
      </c>
      <c r="AB16" s="89"/>
      <c r="AC16" s="248" t="s">
        <v>400</v>
      </c>
      <c r="AD16">
        <v>35.72</v>
      </c>
      <c r="AE16">
        <v>24.93</v>
      </c>
      <c r="AF16">
        <v>26.92</v>
      </c>
      <c r="AG16" s="363">
        <f t="shared" si="27"/>
        <v>3.7160906726119158E-4</v>
      </c>
      <c r="AH16" s="363">
        <f t="shared" si="7"/>
        <v>-1.1384502387073003E-2</v>
      </c>
      <c r="AJ16" s="248" t="s">
        <v>400</v>
      </c>
      <c r="AK16">
        <v>31.13</v>
      </c>
      <c r="AL16" s="363">
        <f t="shared" si="28"/>
        <v>3.6284953395472774E-2</v>
      </c>
      <c r="AM16" s="363">
        <f t="shared" si="8"/>
        <v>1.8985270049099778E-2</v>
      </c>
      <c r="AO16" s="248" t="s">
        <v>400</v>
      </c>
      <c r="AP16" s="351">
        <v>25.49</v>
      </c>
      <c r="AQ16" s="363">
        <f t="shared" si="29"/>
        <v>1.1106703689012232E-2</v>
      </c>
      <c r="AR16" s="363">
        <f t="shared" si="9"/>
        <v>7.5098814229248578E-3</v>
      </c>
      <c r="AT16" s="248" t="s">
        <v>400</v>
      </c>
      <c r="AU16" s="95">
        <v>145914100</v>
      </c>
      <c r="AV16" s="363">
        <f t="shared" si="30"/>
        <v>6.2979259701753554E-2</v>
      </c>
      <c r="AX16" s="248" t="s">
        <v>400</v>
      </c>
      <c r="AY16" s="95">
        <v>5420800</v>
      </c>
      <c r="AZ16" s="363">
        <f t="shared" si="31"/>
        <v>6.2547778191583303E-2</v>
      </c>
      <c r="BA16" s="363">
        <f t="shared" si="34"/>
        <v>3.1754755431478543E-2</v>
      </c>
      <c r="BC16" s="248" t="s">
        <v>400</v>
      </c>
      <c r="BD16">
        <v>1018</v>
      </c>
      <c r="BE16">
        <v>1018</v>
      </c>
      <c r="BF16">
        <v>1016</v>
      </c>
      <c r="BG16" s="363">
        <f>BD16/BD12-1</f>
        <v>1.8000000000000016E-2</v>
      </c>
      <c r="BH16" s="363">
        <f>BE16/BE12-1</f>
        <v>1.8000000000000016E-2</v>
      </c>
      <c r="BI16" s="363">
        <f>BF16/BF12-1</f>
        <v>1.6000000000000014E-2</v>
      </c>
      <c r="BJ16" s="118">
        <f t="shared" ref="BJ16:BJ46" si="39">BD16/BD15-1</f>
        <v>2.9556650246305161E-3</v>
      </c>
      <c r="BK16" s="360">
        <v>40330</v>
      </c>
      <c r="BL16" s="364">
        <v>12.75</v>
      </c>
      <c r="BM16" s="363">
        <f t="shared" si="32"/>
        <v>2.0000000000000018E-2</v>
      </c>
      <c r="BP16" s="350">
        <v>40330</v>
      </c>
      <c r="BQ16" s="352">
        <f t="shared" si="2"/>
        <v>30.811666896674605</v>
      </c>
      <c r="BR16" s="352">
        <f t="shared" si="3"/>
        <v>35.630281964839533</v>
      </c>
      <c r="BS16" s="352">
        <f t="shared" si="4"/>
        <v>29.174940163307411</v>
      </c>
      <c r="BV16" s="248" t="s">
        <v>400</v>
      </c>
      <c r="BW16">
        <v>1008</v>
      </c>
      <c r="BX16">
        <v>1018</v>
      </c>
      <c r="BY16">
        <v>1021</v>
      </c>
      <c r="BZ16" s="363">
        <f t="shared" ref="BZ16:CB31" si="40">BW16/BW12-1</f>
        <v>8.0000000000000071E-3</v>
      </c>
      <c r="CA16" s="363">
        <f t="shared" si="40"/>
        <v>1.8000000000000016E-2</v>
      </c>
      <c r="CB16" s="363">
        <f>BY16/BY12-1</f>
        <v>2.0999999999999908E-2</v>
      </c>
      <c r="CD16" s="248" t="s">
        <v>400</v>
      </c>
      <c r="CE16">
        <v>1018</v>
      </c>
      <c r="CF16" s="118">
        <f t="shared" ref="CF16:CF56" si="41">CE16/CE12-1</f>
        <v>1.8000000000000016E-2</v>
      </c>
      <c r="CG16" s="118">
        <f t="shared" si="37"/>
        <v>4.9358341559724295E-3</v>
      </c>
      <c r="CH16">
        <v>1014</v>
      </c>
      <c r="CI16" s="118">
        <f t="shared" si="20"/>
        <v>1.4000000000000012E-2</v>
      </c>
      <c r="CJ16" s="118">
        <f t="shared" si="38"/>
        <v>3.9603960396039639E-3</v>
      </c>
      <c r="CL16" s="248" t="s">
        <v>400</v>
      </c>
      <c r="CM16">
        <v>1008</v>
      </c>
      <c r="CN16">
        <v>1018</v>
      </c>
      <c r="CO16">
        <v>1018</v>
      </c>
      <c r="CQ16" s="248" t="s">
        <v>681</v>
      </c>
      <c r="CR16">
        <v>1084</v>
      </c>
      <c r="CS16">
        <v>1077</v>
      </c>
      <c r="CT16">
        <v>1068</v>
      </c>
      <c r="CU16">
        <v>1059</v>
      </c>
      <c r="CW16" s="248" t="s">
        <v>682</v>
      </c>
      <c r="CX16">
        <v>727.10119699999996</v>
      </c>
      <c r="CY16">
        <v>728.30001800000002</v>
      </c>
      <c r="CZ16">
        <v>732.34524799999997</v>
      </c>
      <c r="DB16" s="350">
        <v>38139</v>
      </c>
      <c r="DC16">
        <f t="shared" si="10"/>
        <v>1084</v>
      </c>
      <c r="DD16">
        <f t="shared" si="16"/>
        <v>1068</v>
      </c>
      <c r="DE16" s="89">
        <f t="shared" si="33"/>
        <v>2.8462998102466885E-2</v>
      </c>
      <c r="DF16" s="89">
        <f t="shared" si="33"/>
        <v>2.2988505747126409E-2</v>
      </c>
      <c r="DG16" s="89"/>
      <c r="DH16" s="248" t="s">
        <v>680</v>
      </c>
      <c r="DI16">
        <v>17.09</v>
      </c>
      <c r="DJ16">
        <v>13.97</v>
      </c>
      <c r="DK16">
        <v>14.83</v>
      </c>
      <c r="DM16" s="353">
        <v>33664</v>
      </c>
      <c r="DN16">
        <v>15.57</v>
      </c>
      <c r="DO16">
        <v>14.83</v>
      </c>
      <c r="DP16" s="365">
        <f t="shared" si="24"/>
        <v>2.2996057818659654E-2</v>
      </c>
      <c r="DQ16" s="365">
        <f t="shared" si="24"/>
        <v>2.4879060124395336E-2</v>
      </c>
      <c r="DR16" s="365">
        <f t="shared" si="35"/>
        <v>2.8051144688524321E-2</v>
      </c>
      <c r="DS16" s="365">
        <f t="shared" si="35"/>
        <v>3.0928690873399667E-2</v>
      </c>
      <c r="DU16" s="367">
        <v>36130</v>
      </c>
      <c r="DV16" s="368">
        <v>69.3</v>
      </c>
      <c r="DW16" s="368">
        <v>70.400000000000006</v>
      </c>
      <c r="DX16" s="369">
        <v>67.900000000000006</v>
      </c>
      <c r="DY16" s="367">
        <v>18233</v>
      </c>
      <c r="DZ16" s="368">
        <v>4.0999999999999996</v>
      </c>
      <c r="EC16" s="350">
        <v>41061</v>
      </c>
      <c r="ED16">
        <f t="shared" si="17"/>
        <v>975.49143900784361</v>
      </c>
      <c r="EE16">
        <f t="shared" si="11"/>
        <v>976.41695270709192</v>
      </c>
      <c r="EF16">
        <f t="shared" si="12"/>
        <v>1022.3133184374274</v>
      </c>
      <c r="EG16">
        <f t="shared" si="13"/>
        <v>1022.121779417375</v>
      </c>
      <c r="EJ16" s="248" t="s">
        <v>683</v>
      </c>
      <c r="EK16" s="95">
        <v>45700300</v>
      </c>
      <c r="EL16" s="95">
        <v>517826700</v>
      </c>
      <c r="EN16" s="248" t="s">
        <v>683</v>
      </c>
      <c r="EO16" s="95">
        <v>3007700</v>
      </c>
      <c r="EP16" s="95">
        <v>34825600</v>
      </c>
      <c r="ER16" s="352">
        <f t="shared" si="14"/>
        <v>15.194434285334308</v>
      </c>
      <c r="ES16" s="352">
        <f t="shared" si="14"/>
        <v>14.869139368740237</v>
      </c>
      <c r="ET16" s="89">
        <f t="shared" si="25"/>
        <v>2.1596293843763492E-2</v>
      </c>
      <c r="EU16" s="89">
        <f t="shared" si="25"/>
        <v>2.1811392351313685E-2</v>
      </c>
      <c r="EV16" s="350">
        <v>33756</v>
      </c>
      <c r="EW16" s="352">
        <f t="shared" si="21"/>
        <v>15.229517824631468</v>
      </c>
      <c r="EX16" s="352">
        <f t="shared" si="21"/>
        <v>14.765528428040508</v>
      </c>
      <c r="EY16" s="89">
        <f t="shared" si="36"/>
        <v>2.6970261260238937E-2</v>
      </c>
      <c r="EZ16" s="89">
        <f t="shared" si="36"/>
        <v>2.737602889324986E-2</v>
      </c>
    </row>
    <row r="17" spans="1:156" ht="15" customHeight="1">
      <c r="A17" s="350">
        <v>40422</v>
      </c>
      <c r="B17" s="248" t="s">
        <v>406</v>
      </c>
      <c r="C17">
        <v>1006.079027</v>
      </c>
      <c r="D17" s="89">
        <f>C17/C13-1</f>
        <v>-3.0120485121480911E-3</v>
      </c>
      <c r="F17" s="248" t="s">
        <v>406</v>
      </c>
      <c r="G17">
        <v>1004</v>
      </c>
      <c r="H17" s="89">
        <f t="shared" si="22"/>
        <v>5.0050050050050032E-3</v>
      </c>
      <c r="I17">
        <v>1013</v>
      </c>
      <c r="J17" s="89">
        <f t="shared" si="22"/>
        <v>-1.5549076773566539E-2</v>
      </c>
      <c r="K17">
        <v>1002</v>
      </c>
      <c r="L17" s="89">
        <f t="shared" si="22"/>
        <v>-3.9761431411531323E-3</v>
      </c>
      <c r="N17" s="248" t="s">
        <v>406</v>
      </c>
      <c r="O17">
        <v>906.19902100000002</v>
      </c>
      <c r="P17" s="89">
        <f t="shared" si="18"/>
        <v>1.4611872192131115E-2</v>
      </c>
      <c r="Q17" s="89">
        <f t="shared" si="15"/>
        <v>1.0919017040767365E-2</v>
      </c>
      <c r="R17" s="88">
        <f t="shared" si="0"/>
        <v>906.19902100000002</v>
      </c>
      <c r="S17" s="89">
        <f t="shared" si="18"/>
        <v>1.4611872192131115E-2</v>
      </c>
      <c r="T17" s="89">
        <f t="shared" si="5"/>
        <v>1.0919017040767365E-2</v>
      </c>
      <c r="U17" s="89"/>
      <c r="V17" s="248" t="s">
        <v>406</v>
      </c>
      <c r="W17">
        <v>839.32670199999995</v>
      </c>
      <c r="X17" s="89">
        <f t="shared" si="23"/>
        <v>3.2956685592925083E-2</v>
      </c>
      <c r="Y17" s="88">
        <f t="shared" si="1"/>
        <v>839.32670199999995</v>
      </c>
      <c r="Z17" s="89">
        <f t="shared" si="19"/>
        <v>3.2956685592925083E-2</v>
      </c>
      <c r="AA17" s="89">
        <f t="shared" si="6"/>
        <v>1.012891302050023E-2</v>
      </c>
      <c r="AB17" s="89"/>
      <c r="AC17" s="248" t="s">
        <v>406</v>
      </c>
      <c r="AD17">
        <v>36.020000000000003</v>
      </c>
      <c r="AE17">
        <v>25.14</v>
      </c>
      <c r="AF17">
        <v>27.17</v>
      </c>
      <c r="AG17" s="89">
        <f t="shared" si="27"/>
        <v>1.7984263769202036E-2</v>
      </c>
      <c r="AH17" s="89">
        <f t="shared" si="7"/>
        <v>9.2867756315007099E-3</v>
      </c>
      <c r="AJ17" s="248" t="s">
        <v>406</v>
      </c>
      <c r="AK17">
        <v>31.5</v>
      </c>
      <c r="AL17" s="89">
        <f t="shared" si="28"/>
        <v>3.4482758620689724E-2</v>
      </c>
      <c r="AM17" s="89">
        <f t="shared" si="8"/>
        <v>1.1885640860905822E-2</v>
      </c>
      <c r="AO17" s="248" t="s">
        <v>406</v>
      </c>
      <c r="AP17" s="351">
        <v>25.75</v>
      </c>
      <c r="AQ17" s="89">
        <f t="shared" si="29"/>
        <v>1.2583562721195429E-2</v>
      </c>
      <c r="AR17" s="89">
        <f t="shared" si="9"/>
        <v>1.0200078462142104E-2</v>
      </c>
      <c r="AT17" s="248" t="s">
        <v>406</v>
      </c>
      <c r="AU17" s="95">
        <v>147982900</v>
      </c>
      <c r="AV17" s="89">
        <f t="shared" si="30"/>
        <v>6.8810457063161801E-2</v>
      </c>
      <c r="AX17" s="248" t="s">
        <v>406</v>
      </c>
      <c r="AY17" s="95">
        <v>5447400</v>
      </c>
      <c r="AZ17" s="89">
        <f t="shared" si="31"/>
        <v>5.0202429149797556E-2</v>
      </c>
      <c r="BA17" s="89">
        <f t="shared" si="34"/>
        <v>4.0654031238036126E-2</v>
      </c>
      <c r="BC17" s="248" t="s">
        <v>406</v>
      </c>
      <c r="BD17">
        <v>1021</v>
      </c>
      <c r="BE17">
        <v>1021</v>
      </c>
      <c r="BF17" t="s">
        <v>634</v>
      </c>
      <c r="BG17" s="118">
        <f t="shared" ref="BG17:BH23" si="42">BD17/BD13-1</f>
        <v>1.491053677932408E-2</v>
      </c>
      <c r="BH17" s="118">
        <f t="shared" si="42"/>
        <v>1.491053677932408E-2</v>
      </c>
      <c r="BI17" s="118"/>
      <c r="BJ17" s="118">
        <f t="shared" si="39"/>
        <v>2.9469548133596035E-3</v>
      </c>
      <c r="BK17" s="350">
        <v>40422</v>
      </c>
      <c r="BL17" s="352">
        <v>12.75</v>
      </c>
      <c r="BM17" s="118">
        <f t="shared" si="32"/>
        <v>2.0000000000000018E-2</v>
      </c>
      <c r="BP17" s="350">
        <v>40422</v>
      </c>
      <c r="BQ17" s="352">
        <f t="shared" si="2"/>
        <v>30.761918026834859</v>
      </c>
      <c r="BR17" s="352">
        <f t="shared" si="3"/>
        <v>35.664351043257199</v>
      </c>
      <c r="BS17" s="352">
        <f t="shared" si="4"/>
        <v>29.154191725837233</v>
      </c>
      <c r="BV17" s="248" t="s">
        <v>406</v>
      </c>
      <c r="BW17">
        <v>1011</v>
      </c>
      <c r="BX17">
        <v>1021</v>
      </c>
      <c r="BY17">
        <v>1024</v>
      </c>
      <c r="BZ17" s="118">
        <f t="shared" si="40"/>
        <v>8.9820359281436168E-3</v>
      </c>
      <c r="CA17" s="118">
        <f t="shared" si="40"/>
        <v>1.3902681231380276E-2</v>
      </c>
      <c r="CB17" s="118">
        <f>BY17/BY13-1</f>
        <v>1.285855588526208E-2</v>
      </c>
      <c r="CD17" s="248" t="s">
        <v>406</v>
      </c>
      <c r="CE17">
        <v>1022</v>
      </c>
      <c r="CF17" s="118">
        <f t="shared" si="41"/>
        <v>1.6915422885572129E-2</v>
      </c>
      <c r="CG17" s="118">
        <f t="shared" si="37"/>
        <v>3.9292730844793233E-3</v>
      </c>
      <c r="CH17">
        <v>1020</v>
      </c>
      <c r="CI17" s="118">
        <f t="shared" si="20"/>
        <v>1.5936254980079667E-2</v>
      </c>
      <c r="CJ17" s="118">
        <f t="shared" si="38"/>
        <v>5.9171597633136397E-3</v>
      </c>
      <c r="CL17" s="248" t="s">
        <v>406</v>
      </c>
      <c r="CM17">
        <v>1011</v>
      </c>
      <c r="CN17">
        <v>1021</v>
      </c>
      <c r="CO17">
        <v>1021</v>
      </c>
      <c r="CQ17" s="248" t="s">
        <v>684</v>
      </c>
      <c r="CR17">
        <v>1092</v>
      </c>
      <c r="CS17" t="s">
        <v>634</v>
      </c>
      <c r="CT17">
        <v>1075</v>
      </c>
      <c r="CU17" t="s">
        <v>634</v>
      </c>
      <c r="CW17" s="248" t="s">
        <v>685</v>
      </c>
      <c r="CX17">
        <v>730.59016599999995</v>
      </c>
      <c r="CY17">
        <v>731.79809599999999</v>
      </c>
      <c r="CZ17">
        <v>735.13513499999999</v>
      </c>
      <c r="DB17" s="350">
        <v>38231</v>
      </c>
      <c r="DC17">
        <f t="shared" si="10"/>
        <v>1092</v>
      </c>
      <c r="DD17">
        <f t="shared" si="16"/>
        <v>1075</v>
      </c>
      <c r="DE17" s="89">
        <f t="shared" si="33"/>
        <v>2.6315789473684292E-2</v>
      </c>
      <c r="DF17" s="89">
        <f t="shared" si="33"/>
        <v>2.1863117870722482E-2</v>
      </c>
      <c r="DG17" s="89"/>
      <c r="DH17" s="248" t="s">
        <v>683</v>
      </c>
      <c r="DI17">
        <v>17.010000000000002</v>
      </c>
      <c r="DJ17">
        <v>14.04</v>
      </c>
      <c r="DK17">
        <v>14.87</v>
      </c>
      <c r="DM17" s="353">
        <v>33756</v>
      </c>
      <c r="DN17">
        <v>15.19</v>
      </c>
      <c r="DO17">
        <v>14.87</v>
      </c>
      <c r="DP17" s="365">
        <f t="shared" si="24"/>
        <v>2.1519838601210539E-2</v>
      </c>
      <c r="DQ17" s="365">
        <f t="shared" si="24"/>
        <v>2.1993127147766245E-2</v>
      </c>
      <c r="DR17" s="365">
        <f t="shared" si="35"/>
        <v>2.722488845797999E-2</v>
      </c>
      <c r="DS17" s="365">
        <f t="shared" si="35"/>
        <v>2.734579738722287E-2</v>
      </c>
      <c r="DU17" s="367">
        <v>36220</v>
      </c>
      <c r="DV17" s="368">
        <v>70</v>
      </c>
      <c r="DW17" s="368">
        <v>70.8</v>
      </c>
      <c r="DX17" s="369">
        <v>69</v>
      </c>
      <c r="DY17" s="367">
        <v>18323</v>
      </c>
      <c r="DZ17" s="368">
        <v>4.2</v>
      </c>
      <c r="EC17" s="350">
        <v>41153</v>
      </c>
      <c r="ED17">
        <f t="shared" si="17"/>
        <v>975.76174280860596</v>
      </c>
      <c r="EE17">
        <f t="shared" si="11"/>
        <v>973.91545758096436</v>
      </c>
      <c r="EF17">
        <f t="shared" si="12"/>
        <v>1023.5989576349742</v>
      </c>
      <c r="EG17">
        <f t="shared" si="13"/>
        <v>1021.5780317561293</v>
      </c>
      <c r="EJ17" s="248" t="s">
        <v>686</v>
      </c>
      <c r="EK17" s="95">
        <v>45277000</v>
      </c>
      <c r="EL17" s="95">
        <v>502423800</v>
      </c>
      <c r="EN17" s="248" t="s">
        <v>686</v>
      </c>
      <c r="EO17" s="95">
        <v>2974700</v>
      </c>
      <c r="EP17" s="95">
        <v>33874800</v>
      </c>
      <c r="ER17" s="352">
        <f t="shared" si="14"/>
        <v>15.220694523817528</v>
      </c>
      <c r="ES17" s="352">
        <f t="shared" si="14"/>
        <v>14.831786460731871</v>
      </c>
      <c r="ET17" s="89">
        <f t="shared" si="25"/>
        <v>8.2410408709230332E-3</v>
      </c>
      <c r="EU17" s="89">
        <f t="shared" si="25"/>
        <v>1.2847886859571167E-2</v>
      </c>
      <c r="EV17" s="350">
        <v>33848</v>
      </c>
      <c r="EW17" s="352">
        <f t="shared" si="21"/>
        <v>15.260865910752861</v>
      </c>
      <c r="EX17" s="352">
        <f t="shared" si="21"/>
        <v>14.811789584220769</v>
      </c>
      <c r="EY17" s="89">
        <f t="shared" si="36"/>
        <v>1.8389750289279805E-2</v>
      </c>
      <c r="EZ17" s="89">
        <f t="shared" si="36"/>
        <v>2.2201318848358076E-2</v>
      </c>
    </row>
    <row r="18" spans="1:156" ht="15" customHeight="1">
      <c r="A18" s="350">
        <v>40513</v>
      </c>
      <c r="B18" s="248" t="s">
        <v>412</v>
      </c>
      <c r="C18">
        <v>1000</v>
      </c>
      <c r="D18" s="89">
        <f t="shared" si="26"/>
        <v>7.604558536731254E-4</v>
      </c>
      <c r="F18" s="248" t="s">
        <v>412</v>
      </c>
      <c r="G18">
        <v>1000</v>
      </c>
      <c r="H18" s="89">
        <f t="shared" si="22"/>
        <v>8.0645161290322509E-3</v>
      </c>
      <c r="I18">
        <v>1000</v>
      </c>
      <c r="J18" s="89">
        <f t="shared" si="22"/>
        <v>-1.6715830875122961E-2</v>
      </c>
      <c r="K18">
        <v>1000</v>
      </c>
      <c r="L18" s="89">
        <f t="shared" si="22"/>
        <v>9.0817356205852295E-3</v>
      </c>
      <c r="N18" s="248" t="s">
        <v>412</v>
      </c>
      <c r="O18">
        <v>927.40619900000002</v>
      </c>
      <c r="P18" s="89">
        <f t="shared" si="18"/>
        <v>4.0256175492955792E-2</v>
      </c>
      <c r="Q18" s="89">
        <f t="shared" si="15"/>
        <v>2.3402340444594216E-2</v>
      </c>
      <c r="R18" s="88">
        <f>R17*((O18/O17)-2%)</f>
        <v>909.28221857999995</v>
      </c>
      <c r="S18" s="89">
        <f t="shared" si="18"/>
        <v>1.9926806790495188E-2</v>
      </c>
      <c r="T18" s="89">
        <f t="shared" si="5"/>
        <v>3.4023404445941985E-3</v>
      </c>
      <c r="U18" s="89"/>
      <c r="V18" s="248" t="s">
        <v>412</v>
      </c>
      <c r="W18">
        <v>876.05202799999995</v>
      </c>
      <c r="X18" s="89">
        <f t="shared" si="23"/>
        <v>7.2097378940608747E-2</v>
      </c>
      <c r="Y18" s="88">
        <f>Y17*((W18/W17)-2%)</f>
        <v>859.26549395999996</v>
      </c>
      <c r="Z18" s="89">
        <f t="shared" si="19"/>
        <v>5.1554307786641607E-2</v>
      </c>
      <c r="AA18" s="89">
        <f t="shared" si="6"/>
        <v>2.3755698362137867E-2</v>
      </c>
      <c r="AB18" s="89"/>
      <c r="AC18" s="248" t="s">
        <v>412</v>
      </c>
      <c r="AD18">
        <v>36.22</v>
      </c>
      <c r="AE18">
        <v>25.45</v>
      </c>
      <c r="AF18">
        <v>27.42</v>
      </c>
      <c r="AG18" s="89">
        <f t="shared" si="27"/>
        <v>8.8300220750552327E-3</v>
      </c>
      <c r="AH18" s="89">
        <f t="shared" si="7"/>
        <v>9.2013249907987316E-3</v>
      </c>
      <c r="AJ18" s="248" t="s">
        <v>412</v>
      </c>
      <c r="AK18">
        <v>31.46</v>
      </c>
      <c r="AL18" s="89">
        <f t="shared" si="28"/>
        <v>2.2092267706302682E-2</v>
      </c>
      <c r="AM18" s="89">
        <f t="shared" si="8"/>
        <v>-1.2698412698411987E-3</v>
      </c>
      <c r="AO18" s="248" t="s">
        <v>412</v>
      </c>
      <c r="AP18" s="351">
        <v>25.86</v>
      </c>
      <c r="AQ18" s="89">
        <f t="shared" si="29"/>
        <v>1.8511224891689659E-2</v>
      </c>
      <c r="AR18" s="89">
        <f t="shared" si="9"/>
        <v>4.2718446601941462E-3</v>
      </c>
      <c r="AT18" s="248" t="s">
        <v>412</v>
      </c>
      <c r="AU18" s="95">
        <v>150935700</v>
      </c>
      <c r="AV18" s="89">
        <f t="shared" si="30"/>
        <v>6.0353494018393405E-2</v>
      </c>
      <c r="AX18" s="248" t="s">
        <v>412</v>
      </c>
      <c r="AY18" s="95">
        <v>5503800</v>
      </c>
      <c r="AZ18" s="89">
        <f t="shared" si="31"/>
        <v>5.0804742539664272E-2</v>
      </c>
      <c r="BA18" s="89">
        <f t="shared" si="34"/>
        <v>4.7968185104844574E-2</v>
      </c>
      <c r="BC18" s="248" t="s">
        <v>412</v>
      </c>
      <c r="BD18">
        <v>1025</v>
      </c>
      <c r="BE18">
        <v>1025</v>
      </c>
      <c r="BF18" t="s">
        <v>634</v>
      </c>
      <c r="BG18" s="118">
        <f t="shared" si="42"/>
        <v>1.3847675568743778E-2</v>
      </c>
      <c r="BH18" s="118">
        <f t="shared" si="42"/>
        <v>1.3847675568743778E-2</v>
      </c>
      <c r="BI18" s="118"/>
      <c r="BJ18" s="118">
        <f t="shared" si="39"/>
        <v>3.9177277179236469E-3</v>
      </c>
      <c r="BK18" s="350">
        <v>40513</v>
      </c>
      <c r="BL18" s="352">
        <v>12.75</v>
      </c>
      <c r="BM18" s="118">
        <f t="shared" si="32"/>
        <v>2.0000000000000018E-2</v>
      </c>
      <c r="BP18" s="350">
        <v>40513</v>
      </c>
      <c r="BQ18" s="352">
        <f t="shared" si="2"/>
        <v>30.335057098319009</v>
      </c>
      <c r="BR18" s="352">
        <f t="shared" si="3"/>
        <v>34.804554934832822</v>
      </c>
      <c r="BS18" s="352">
        <f t="shared" si="4"/>
        <v>28.6092113990711</v>
      </c>
      <c r="BV18" s="248" t="s">
        <v>412</v>
      </c>
      <c r="BW18">
        <v>1013</v>
      </c>
      <c r="BX18">
        <v>1023</v>
      </c>
      <c r="BY18">
        <v>1027</v>
      </c>
      <c r="BZ18" s="118">
        <f t="shared" si="40"/>
        <v>9.9700897308074854E-3</v>
      </c>
      <c r="CA18" s="118">
        <f t="shared" si="40"/>
        <v>8.8757396449703485E-3</v>
      </c>
      <c r="CB18" s="118">
        <f t="shared" si="40"/>
        <v>1.2820512820512775E-2</v>
      </c>
      <c r="CD18" s="248" t="s">
        <v>412</v>
      </c>
      <c r="CE18">
        <v>1027</v>
      </c>
      <c r="CF18" s="118">
        <f t="shared" si="41"/>
        <v>1.8849206349206282E-2</v>
      </c>
      <c r="CG18" s="118">
        <f t="shared" si="37"/>
        <v>4.8923679060666192E-3</v>
      </c>
      <c r="CH18">
        <v>1026</v>
      </c>
      <c r="CI18" s="118">
        <f t="shared" si="20"/>
        <v>1.8867924528301883E-2</v>
      </c>
      <c r="CJ18" s="118">
        <f t="shared" si="38"/>
        <v>5.8823529411764497E-3</v>
      </c>
      <c r="CL18" s="248" t="s">
        <v>412</v>
      </c>
      <c r="CM18">
        <v>1013</v>
      </c>
      <c r="CN18">
        <v>1025</v>
      </c>
      <c r="CO18">
        <v>1023</v>
      </c>
      <c r="CQ18" s="248" t="s">
        <v>687</v>
      </c>
      <c r="CR18">
        <v>1098</v>
      </c>
      <c r="CS18" t="s">
        <v>634</v>
      </c>
      <c r="CT18">
        <v>1084</v>
      </c>
      <c r="CU18" t="s">
        <v>634</v>
      </c>
      <c r="CW18" s="248" t="s">
        <v>688</v>
      </c>
      <c r="CX18">
        <v>732.68354799999997</v>
      </c>
      <c r="CY18">
        <v>733.89694399999996</v>
      </c>
      <c r="CZ18">
        <v>740.71490800000004</v>
      </c>
      <c r="DB18" s="350">
        <v>38322</v>
      </c>
      <c r="DC18">
        <f t="shared" si="10"/>
        <v>1098</v>
      </c>
      <c r="DD18">
        <f t="shared" si="16"/>
        <v>1084</v>
      </c>
      <c r="DE18" s="89">
        <f t="shared" si="33"/>
        <v>2.7128157156220745E-2</v>
      </c>
      <c r="DF18" s="89">
        <f t="shared" si="33"/>
        <v>2.457466918714557E-2</v>
      </c>
      <c r="DG18" s="89"/>
      <c r="DH18" s="248" t="s">
        <v>686</v>
      </c>
      <c r="DI18">
        <v>17</v>
      </c>
      <c r="DJ18">
        <v>13.97</v>
      </c>
      <c r="DK18">
        <v>14.83</v>
      </c>
      <c r="DM18" s="353">
        <v>33848</v>
      </c>
      <c r="DN18">
        <v>15.22</v>
      </c>
      <c r="DO18">
        <v>14.83</v>
      </c>
      <c r="DP18" s="365">
        <f t="shared" si="24"/>
        <v>7.9470198675497539E-3</v>
      </c>
      <c r="DQ18" s="365">
        <f t="shared" si="24"/>
        <v>1.2978142076502719E-2</v>
      </c>
      <c r="DR18" s="365">
        <f t="shared" si="35"/>
        <v>1.8351847291643297E-2</v>
      </c>
      <c r="DS18" s="365">
        <f t="shared" si="35"/>
        <v>2.2108997662173113E-2</v>
      </c>
      <c r="DU18" s="367">
        <v>36312</v>
      </c>
      <c r="DV18" s="368">
        <v>70.2</v>
      </c>
      <c r="DW18" s="368">
        <v>71.099999999999994</v>
      </c>
      <c r="DX18" s="369">
        <v>69</v>
      </c>
      <c r="DY18" s="367">
        <v>18415</v>
      </c>
      <c r="DZ18" s="368">
        <v>4.3</v>
      </c>
      <c r="EC18" s="350">
        <v>41244</v>
      </c>
      <c r="ED18">
        <f t="shared" si="17"/>
        <v>980.20530400929545</v>
      </c>
      <c r="EE18">
        <f t="shared" si="11"/>
        <v>977.43113805455221</v>
      </c>
      <c r="EF18">
        <f t="shared" si="12"/>
        <v>1030.6006477764204</v>
      </c>
      <c r="EG18">
        <f t="shared" si="13"/>
        <v>1033.0613785494456</v>
      </c>
      <c r="EJ18" s="248" t="s">
        <v>640</v>
      </c>
      <c r="EK18" s="95">
        <v>45481200</v>
      </c>
      <c r="EL18" s="95">
        <v>517765300</v>
      </c>
      <c r="EN18" s="248" t="s">
        <v>640</v>
      </c>
      <c r="EO18" s="95">
        <v>2959300</v>
      </c>
      <c r="EP18" s="95">
        <v>34860200</v>
      </c>
      <c r="ER18" s="352">
        <f t="shared" si="14"/>
        <v>15.368904808569594</v>
      </c>
      <c r="ES18" s="352">
        <f t="shared" si="14"/>
        <v>14.852619893173303</v>
      </c>
      <c r="ET18" s="89">
        <f t="shared" si="25"/>
        <v>2.0488398973494082E-2</v>
      </c>
      <c r="EU18" s="89">
        <f t="shared" si="25"/>
        <v>9.2134673364741015E-3</v>
      </c>
      <c r="EV18" s="350">
        <v>33939</v>
      </c>
      <c r="EW18" s="352">
        <f t="shared" si="21"/>
        <v>15.337782375401591</v>
      </c>
      <c r="EX18" s="352">
        <f t="shared" si="21"/>
        <v>14.845429320589572</v>
      </c>
      <c r="EY18" s="89">
        <f t="shared" si="36"/>
        <v>1.8312146752692327E-2</v>
      </c>
      <c r="EZ18" s="89">
        <f t="shared" si="36"/>
        <v>1.736704541504186E-2</v>
      </c>
    </row>
    <row r="19" spans="1:156">
      <c r="A19" s="350">
        <v>40603</v>
      </c>
      <c r="B19" s="248" t="s">
        <v>418</v>
      </c>
      <c r="C19">
        <v>1010</v>
      </c>
      <c r="D19" s="89">
        <f t="shared" si="26"/>
        <v>7.7028054151773162E-3</v>
      </c>
      <c r="F19" s="248" t="s">
        <v>418</v>
      </c>
      <c r="G19">
        <v>1008</v>
      </c>
      <c r="H19" s="89">
        <f t="shared" si="22"/>
        <v>1.306532663316573E-2</v>
      </c>
      <c r="I19">
        <v>1011</v>
      </c>
      <c r="J19" s="89">
        <f t="shared" si="22"/>
        <v>-6.8762278978389269E-3</v>
      </c>
      <c r="K19">
        <v>1012</v>
      </c>
      <c r="L19" s="89">
        <f t="shared" si="22"/>
        <v>1.6064257028112428E-2</v>
      </c>
      <c r="N19" s="248" t="s">
        <v>418</v>
      </c>
      <c r="O19">
        <v>934.74714500000005</v>
      </c>
      <c r="P19" s="89">
        <f t="shared" si="18"/>
        <v>4.4667273725539802E-2</v>
      </c>
      <c r="Q19" s="89">
        <f t="shared" si="15"/>
        <v>7.9155671030834984E-3</v>
      </c>
      <c r="R19" s="88">
        <f>R18*O19/O18</f>
        <v>916.47970299681049</v>
      </c>
      <c r="S19" s="89">
        <f t="shared" si="18"/>
        <v>2.4251700447258884E-2</v>
      </c>
      <c r="T19" s="89">
        <f t="shared" si="5"/>
        <v>7.9155671030834984E-3</v>
      </c>
      <c r="U19" s="89"/>
      <c r="V19" s="248" t="s">
        <v>418</v>
      </c>
      <c r="W19">
        <v>882.93802600000004</v>
      </c>
      <c r="X19" s="89">
        <f t="shared" si="23"/>
        <v>7.0500928264621177E-2</v>
      </c>
      <c r="Y19" s="88">
        <f>Y18*W19/W18</f>
        <v>866.01954541329746</v>
      </c>
      <c r="Z19" s="89">
        <f t="shared" si="19"/>
        <v>4.998844761528054E-2</v>
      </c>
      <c r="AA19" s="89">
        <f t="shared" si="6"/>
        <v>7.8602614683978E-3</v>
      </c>
      <c r="AB19" s="89"/>
      <c r="AC19" s="248" t="s">
        <v>418</v>
      </c>
      <c r="AD19">
        <v>37.49</v>
      </c>
      <c r="AE19">
        <v>25.74</v>
      </c>
      <c r="AF19">
        <v>27.89</v>
      </c>
      <c r="AG19" s="89">
        <f t="shared" si="27"/>
        <v>2.4237972824091125E-2</v>
      </c>
      <c r="AH19" s="89">
        <f t="shared" si="7"/>
        <v>1.7140773158278666E-2</v>
      </c>
      <c r="AJ19" s="248" t="s">
        <v>418</v>
      </c>
      <c r="AK19">
        <v>31.38</v>
      </c>
      <c r="AL19" s="89">
        <f t="shared" si="28"/>
        <v>2.7168576104746212E-2</v>
      </c>
      <c r="AM19" s="89">
        <f t="shared" si="8"/>
        <v>-2.5429116338208102E-3</v>
      </c>
      <c r="AO19" s="248" t="s">
        <v>418</v>
      </c>
      <c r="AP19" s="351">
        <v>25.96</v>
      </c>
      <c r="AQ19" s="89">
        <f t="shared" si="29"/>
        <v>2.6086956521739202E-2</v>
      </c>
      <c r="AR19" s="89">
        <f t="shared" si="9"/>
        <v>3.866976024748725E-3</v>
      </c>
      <c r="AT19" s="248" t="s">
        <v>418</v>
      </c>
      <c r="AU19" s="95">
        <v>152565900</v>
      </c>
      <c r="AV19" s="89">
        <f t="shared" si="30"/>
        <v>4.3642346052289449E-2</v>
      </c>
      <c r="AX19" s="248" t="s">
        <v>418</v>
      </c>
      <c r="AY19" s="95">
        <v>5470400</v>
      </c>
      <c r="AZ19" s="89">
        <f t="shared" si="31"/>
        <v>1.9057022037592519E-2</v>
      </c>
      <c r="BA19" s="89">
        <f t="shared" si="34"/>
        <v>4.5366005408121746E-2</v>
      </c>
      <c r="BC19" s="248" t="s">
        <v>418</v>
      </c>
      <c r="BD19">
        <v>1033</v>
      </c>
      <c r="BE19">
        <v>1033</v>
      </c>
      <c r="BF19" t="s">
        <v>634</v>
      </c>
      <c r="BG19" s="118">
        <f t="shared" si="42"/>
        <v>1.7733990147783318E-2</v>
      </c>
      <c r="BH19" s="118">
        <f t="shared" si="42"/>
        <v>1.7733990147783318E-2</v>
      </c>
      <c r="BI19" s="118"/>
      <c r="BJ19" s="118">
        <f t="shared" si="39"/>
        <v>7.8048780487804947E-3</v>
      </c>
      <c r="BK19" s="350">
        <v>40603</v>
      </c>
      <c r="BL19" s="352">
        <v>12.75</v>
      </c>
      <c r="BM19" s="118">
        <f t="shared" si="32"/>
        <v>2.0000000000000018E-2</v>
      </c>
      <c r="BP19" s="350">
        <v>40603</v>
      </c>
      <c r="BQ19" s="352">
        <f t="shared" si="2"/>
        <v>30.612706498290507</v>
      </c>
      <c r="BR19" s="352">
        <f t="shared" si="3"/>
        <v>34.443410896965077</v>
      </c>
      <c r="BS19" s="352">
        <f t="shared" si="4"/>
        <v>28.494294037132359</v>
      </c>
      <c r="BV19" s="248" t="s">
        <v>418</v>
      </c>
      <c r="BW19">
        <v>1014</v>
      </c>
      <c r="BX19">
        <v>1035</v>
      </c>
      <c r="BY19">
        <v>1032</v>
      </c>
      <c r="BZ19" s="118">
        <f t="shared" si="40"/>
        <v>5.9523809523809312E-3</v>
      </c>
      <c r="CA19" s="118">
        <f t="shared" si="40"/>
        <v>1.7699115044247815E-2</v>
      </c>
      <c r="CB19" s="118">
        <f t="shared" si="40"/>
        <v>1.2757605495583801E-2</v>
      </c>
      <c r="CD19" s="248" t="s">
        <v>418</v>
      </c>
      <c r="CE19">
        <v>1031</v>
      </c>
      <c r="CF19" s="118">
        <f t="shared" si="41"/>
        <v>1.7769002961500524E-2</v>
      </c>
      <c r="CG19" s="118">
        <f t="shared" si="37"/>
        <v>3.894839337877265E-3</v>
      </c>
      <c r="CH19">
        <v>1030</v>
      </c>
      <c r="CI19" s="118">
        <f t="shared" si="20"/>
        <v>1.980198019801982E-2</v>
      </c>
      <c r="CJ19" s="118">
        <f t="shared" si="38"/>
        <v>3.8986354775829568E-3</v>
      </c>
      <c r="CL19" s="248" t="s">
        <v>418</v>
      </c>
      <c r="CM19">
        <v>1014</v>
      </c>
      <c r="CN19">
        <v>1033</v>
      </c>
      <c r="CO19">
        <v>1035</v>
      </c>
      <c r="CQ19" s="248" t="s">
        <v>689</v>
      </c>
      <c r="CR19">
        <v>1106</v>
      </c>
      <c r="CS19" t="s">
        <v>634</v>
      </c>
      <c r="CT19">
        <v>1089</v>
      </c>
      <c r="CU19" t="s">
        <v>634</v>
      </c>
      <c r="CW19" s="248" t="s">
        <v>690</v>
      </c>
      <c r="CX19">
        <v>736.87031100000002</v>
      </c>
      <c r="CY19">
        <v>738.09463800000003</v>
      </c>
      <c r="CZ19">
        <v>744.89973799999996</v>
      </c>
      <c r="DB19" s="350">
        <v>38412</v>
      </c>
      <c r="DC19">
        <f t="shared" si="10"/>
        <v>1106</v>
      </c>
      <c r="DD19">
        <f t="shared" si="16"/>
        <v>1089</v>
      </c>
      <c r="DE19" s="89">
        <f t="shared" si="33"/>
        <v>2.7881040892193232E-2</v>
      </c>
      <c r="DF19" s="89">
        <f t="shared" si="33"/>
        <v>2.5423728813559254E-2</v>
      </c>
      <c r="DG19" s="89"/>
      <c r="DH19" s="248" t="s">
        <v>640</v>
      </c>
      <c r="DI19">
        <v>17.079999999999998</v>
      </c>
      <c r="DJ19">
        <v>14.03</v>
      </c>
      <c r="DK19">
        <v>14.85</v>
      </c>
      <c r="DM19" s="353">
        <v>33939</v>
      </c>
      <c r="DN19">
        <v>15.37</v>
      </c>
      <c r="DO19">
        <v>14.85</v>
      </c>
      <c r="DP19" s="365">
        <f t="shared" si="24"/>
        <v>2.058432934926957E-2</v>
      </c>
      <c r="DQ19" s="365">
        <f t="shared" si="24"/>
        <v>8.8315217391303769E-3</v>
      </c>
      <c r="DR19" s="365">
        <f t="shared" si="35"/>
        <v>1.8243957507034114E-2</v>
      </c>
      <c r="DS19" s="365">
        <f t="shared" si="35"/>
        <v>1.7149589748489902E-2</v>
      </c>
      <c r="DU19" s="367">
        <v>36404</v>
      </c>
      <c r="DV19" s="368">
        <v>70.8</v>
      </c>
      <c r="DW19" s="368">
        <v>71.7</v>
      </c>
      <c r="DX19" s="369">
        <v>69.900000000000006</v>
      </c>
      <c r="DY19" s="367">
        <v>18507</v>
      </c>
      <c r="DZ19" s="368">
        <v>4.4000000000000004</v>
      </c>
      <c r="EC19" s="350">
        <v>41334</v>
      </c>
      <c r="ED19">
        <f t="shared" si="17"/>
        <v>979.71379974447484</v>
      </c>
      <c r="EE19">
        <f t="shared" si="11"/>
        <v>976.95144880534565</v>
      </c>
      <c r="EF19">
        <f t="shared" si="12"/>
        <v>1031.9589978981207</v>
      </c>
      <c r="EG19">
        <f>1000*($DX73/$DX$58)*($DZ$254/$DZ269)</f>
        <v>1032.6083184230008</v>
      </c>
      <c r="EJ19" s="248" t="s">
        <v>644</v>
      </c>
      <c r="EK19" s="95">
        <v>45693800</v>
      </c>
      <c r="EL19" s="95">
        <v>529308400</v>
      </c>
      <c r="EN19" s="248" t="s">
        <v>644</v>
      </c>
      <c r="EO19" s="95">
        <v>2959400</v>
      </c>
      <c r="EP19" s="95">
        <v>35659900</v>
      </c>
      <c r="ER19" s="352">
        <f t="shared" si="14"/>
        <v>15.440224369804691</v>
      </c>
      <c r="ES19" s="352">
        <f t="shared" si="14"/>
        <v>14.84323848356277</v>
      </c>
      <c r="ET19" s="89">
        <f t="shared" si="25"/>
        <v>-8.3923269825590951E-3</v>
      </c>
      <c r="EU19" s="89">
        <f t="shared" si="25"/>
        <v>1.0257437603387043E-3</v>
      </c>
      <c r="EV19" s="350">
        <v>34029</v>
      </c>
      <c r="EW19" s="352">
        <f t="shared" si="21"/>
        <v>15.305501172160557</v>
      </c>
      <c r="EX19" s="352">
        <f t="shared" si="21"/>
        <v>14.849280098836019</v>
      </c>
      <c r="EY19" s="89">
        <f t="shared" si="36"/>
        <v>1.0350933218931546E-2</v>
      </c>
      <c r="EZ19" s="89">
        <f t="shared" si="36"/>
        <v>1.1180143403416443E-2</v>
      </c>
    </row>
    <row r="20" spans="1:156">
      <c r="A20" s="360">
        <v>40695</v>
      </c>
      <c r="B20" s="361" t="s">
        <v>423</v>
      </c>
      <c r="C20" s="362">
        <v>1015</v>
      </c>
      <c r="D20" s="363">
        <f t="shared" si="26"/>
        <v>1.3459787393889533E-2</v>
      </c>
      <c r="F20" s="248" t="s">
        <v>423</v>
      </c>
      <c r="G20">
        <v>1010</v>
      </c>
      <c r="H20" s="363">
        <f t="shared" si="22"/>
        <v>1.1011011011011096E-2</v>
      </c>
      <c r="I20">
        <v>1017</v>
      </c>
      <c r="J20" s="363">
        <f t="shared" si="22"/>
        <v>7.9286422200197659E-3</v>
      </c>
      <c r="K20">
        <v>1018</v>
      </c>
      <c r="L20" s="363">
        <f t="shared" si="22"/>
        <v>2.2088353413654671E-2</v>
      </c>
      <c r="N20" s="248" t="s">
        <v>423</v>
      </c>
      <c r="O20">
        <v>943.71941300000003</v>
      </c>
      <c r="P20" s="363">
        <f t="shared" si="18"/>
        <v>5.2775250517788974E-2</v>
      </c>
      <c r="Q20" s="363">
        <f t="shared" si="15"/>
        <v>9.598604337004879E-3</v>
      </c>
      <c r="R20" s="88">
        <f>R19*O20/O19</f>
        <v>925.27662904877263</v>
      </c>
      <c r="S20" s="363">
        <f t="shared" si="18"/>
        <v>3.2201225837320768E-2</v>
      </c>
      <c r="T20" s="89">
        <f t="shared" si="5"/>
        <v>9.598604337004879E-3</v>
      </c>
      <c r="U20" s="89"/>
      <c r="V20" s="248" t="s">
        <v>423</v>
      </c>
      <c r="W20">
        <v>885.99847</v>
      </c>
      <c r="X20" s="363">
        <f t="shared" si="23"/>
        <v>6.6298342833999824E-2</v>
      </c>
      <c r="Y20" s="88">
        <f>Y19*W20/W19</f>
        <v>869.0213464951355</v>
      </c>
      <c r="Z20" s="363">
        <f t="shared" si="19"/>
        <v>4.586639032811668E-2</v>
      </c>
      <c r="AA20" s="89">
        <f t="shared" si="6"/>
        <v>3.4662047730176226E-3</v>
      </c>
      <c r="AB20" s="89"/>
      <c r="AC20" s="248" t="s">
        <v>423</v>
      </c>
      <c r="AD20">
        <v>38.25</v>
      </c>
      <c r="AE20">
        <v>25.8</v>
      </c>
      <c r="AF20">
        <v>28.05</v>
      </c>
      <c r="AG20" s="363">
        <f t="shared" si="27"/>
        <v>4.1976225854383209E-2</v>
      </c>
      <c r="AH20" s="363">
        <f t="shared" si="7"/>
        <v>5.7368232341341585E-3</v>
      </c>
      <c r="AJ20" s="248" t="s">
        <v>423</v>
      </c>
      <c r="AK20">
        <v>31.98</v>
      </c>
      <c r="AL20" s="363">
        <f t="shared" si="28"/>
        <v>2.730485062640553E-2</v>
      </c>
      <c r="AM20" s="363">
        <f t="shared" si="8"/>
        <v>1.9120458891013437E-2</v>
      </c>
      <c r="AO20" s="248" t="s">
        <v>423</v>
      </c>
      <c r="AP20" s="351">
        <v>26.27</v>
      </c>
      <c r="AQ20" s="363">
        <f t="shared" si="29"/>
        <v>3.0600235386426089E-2</v>
      </c>
      <c r="AR20" s="363">
        <f t="shared" si="9"/>
        <v>1.1941448382126296E-2</v>
      </c>
      <c r="AT20" s="248" t="s">
        <v>423</v>
      </c>
      <c r="AU20" s="95">
        <v>152942500</v>
      </c>
      <c r="AV20" s="363">
        <f t="shared" si="30"/>
        <v>4.8168066005958243E-2</v>
      </c>
      <c r="AX20" s="248" t="s">
        <v>423</v>
      </c>
      <c r="AY20" s="95">
        <v>5451600</v>
      </c>
      <c r="AZ20" s="363">
        <f t="shared" si="31"/>
        <v>5.6818181818181213E-3</v>
      </c>
      <c r="BA20" s="363">
        <f t="shared" si="34"/>
        <v>3.1093260926952526E-2</v>
      </c>
      <c r="BC20" s="248" t="s">
        <v>423</v>
      </c>
      <c r="BD20">
        <v>1034</v>
      </c>
      <c r="BE20">
        <v>1034</v>
      </c>
      <c r="BF20">
        <v>1039</v>
      </c>
      <c r="BG20" s="363">
        <f t="shared" si="42"/>
        <v>1.5717092337917515E-2</v>
      </c>
      <c r="BH20" s="363">
        <f t="shared" si="42"/>
        <v>1.5717092337917515E-2</v>
      </c>
      <c r="BI20" s="363">
        <f>BF20/BF16-1</f>
        <v>2.2637795275590511E-2</v>
      </c>
      <c r="BJ20" s="118">
        <f t="shared" si="39"/>
        <v>9.6805421103574041E-4</v>
      </c>
      <c r="BK20" s="360">
        <v>40695</v>
      </c>
      <c r="BL20" s="364">
        <v>13</v>
      </c>
      <c r="BM20" s="363">
        <f t="shared" si="32"/>
        <v>1.9607843137254832E-2</v>
      </c>
      <c r="BP20" s="350">
        <v>40695</v>
      </c>
      <c r="BQ20" s="352">
        <f t="shared" si="2"/>
        <v>30.495610881324531</v>
      </c>
      <c r="BR20" s="352">
        <f t="shared" si="3"/>
        <v>34.768257967371071</v>
      </c>
      <c r="BS20" s="352">
        <f t="shared" si="4"/>
        <v>28.560417035736023</v>
      </c>
      <c r="BV20" s="248" t="s">
        <v>423</v>
      </c>
      <c r="BW20">
        <v>1015</v>
      </c>
      <c r="BX20">
        <v>1035</v>
      </c>
      <c r="BY20">
        <v>1035</v>
      </c>
      <c r="BZ20" s="363">
        <f t="shared" si="40"/>
        <v>6.9444444444444198E-3</v>
      </c>
      <c r="CA20" s="363">
        <f t="shared" si="40"/>
        <v>1.6699410609037235E-2</v>
      </c>
      <c r="CB20" s="363">
        <f t="shared" si="40"/>
        <v>1.3712047012732542E-2</v>
      </c>
      <c r="CD20" s="248" t="s">
        <v>423</v>
      </c>
      <c r="CE20">
        <v>1033</v>
      </c>
      <c r="CF20" s="118">
        <f t="shared" si="41"/>
        <v>1.4734774066797574E-2</v>
      </c>
      <c r="CG20" s="118">
        <f t="shared" si="37"/>
        <v>1.9398642095054264E-3</v>
      </c>
      <c r="CH20">
        <v>1035</v>
      </c>
      <c r="CI20" s="118">
        <f t="shared" si="20"/>
        <v>2.0710059171597628E-2</v>
      </c>
      <c r="CJ20" s="118">
        <f t="shared" si="38"/>
        <v>4.8543689320388328E-3</v>
      </c>
      <c r="CL20" s="248" t="s">
        <v>423</v>
      </c>
      <c r="CM20">
        <v>1015</v>
      </c>
      <c r="CN20">
        <v>1034</v>
      </c>
      <c r="CO20">
        <v>1035</v>
      </c>
      <c r="CQ20" s="248" t="s">
        <v>691</v>
      </c>
      <c r="CR20">
        <v>1125</v>
      </c>
      <c r="CS20">
        <v>1119</v>
      </c>
      <c r="CT20">
        <v>1097</v>
      </c>
      <c r="CU20">
        <v>1088</v>
      </c>
      <c r="CW20" s="248" t="s">
        <v>692</v>
      </c>
      <c r="CX20">
        <v>741.75486799999999</v>
      </c>
      <c r="CY20">
        <v>742.99194899999998</v>
      </c>
      <c r="CZ20">
        <v>749.78204000000005</v>
      </c>
      <c r="DB20" s="350">
        <v>38504</v>
      </c>
      <c r="DC20">
        <f t="shared" si="10"/>
        <v>1125</v>
      </c>
      <c r="DD20">
        <f t="shared" si="16"/>
        <v>1097</v>
      </c>
      <c r="DE20" s="89">
        <f t="shared" si="33"/>
        <v>3.7822878228782386E-2</v>
      </c>
      <c r="DF20" s="89">
        <f t="shared" si="33"/>
        <v>2.7153558052434468E-2</v>
      </c>
      <c r="DG20" s="89"/>
      <c r="DH20" s="248" t="s">
        <v>644</v>
      </c>
      <c r="DI20">
        <v>17.09</v>
      </c>
      <c r="DJ20">
        <v>14.04</v>
      </c>
      <c r="DK20">
        <v>14.84</v>
      </c>
      <c r="DM20" s="353">
        <v>34029</v>
      </c>
      <c r="DN20">
        <v>15.44</v>
      </c>
      <c r="DO20">
        <v>14.84</v>
      </c>
      <c r="DP20" s="365">
        <f t="shared" si="24"/>
        <v>-8.3493898522800647E-3</v>
      </c>
      <c r="DQ20" s="365">
        <f t="shared" si="24"/>
        <v>6.743088334457692E-4</v>
      </c>
      <c r="DR20" s="365">
        <f t="shared" si="35"/>
        <v>1.0352737235917342E-2</v>
      </c>
      <c r="DS20" s="365">
        <f t="shared" si="35"/>
        <v>1.1090106320586379E-2</v>
      </c>
      <c r="DU20" s="367">
        <v>36495</v>
      </c>
      <c r="DV20" s="368">
        <v>71.2</v>
      </c>
      <c r="DW20" s="368">
        <v>72</v>
      </c>
      <c r="DX20" s="369">
        <v>70.400000000000006</v>
      </c>
      <c r="DY20" s="367">
        <v>18598</v>
      </c>
      <c r="DZ20" s="368">
        <v>4.5999999999999996</v>
      </c>
      <c r="EC20" s="350">
        <v>41426</v>
      </c>
      <c r="ED20">
        <f t="shared" si="17"/>
        <v>984.48214298056951</v>
      </c>
      <c r="EE20">
        <f t="shared" si="11"/>
        <v>983.56292529337941</v>
      </c>
      <c r="EF20">
        <f t="shared" si="12"/>
        <v>1031.5190492135155</v>
      </c>
      <c r="EG20">
        <f t="shared" si="13"/>
        <v>1033.0508832646417</v>
      </c>
      <c r="EJ20" s="248" t="s">
        <v>648</v>
      </c>
      <c r="EK20" s="95">
        <v>46523400</v>
      </c>
      <c r="EL20" s="95">
        <v>526442700</v>
      </c>
      <c r="EN20" s="248" t="s">
        <v>648</v>
      </c>
      <c r="EO20" s="95">
        <v>3033900</v>
      </c>
      <c r="EP20" s="95">
        <v>35301800</v>
      </c>
      <c r="ER20" s="352">
        <f t="shared" si="14"/>
        <v>15.334519924849204</v>
      </c>
      <c r="ES20" s="352">
        <f t="shared" si="14"/>
        <v>14.912630517424041</v>
      </c>
      <c r="ET20" s="89">
        <f t="shared" si="25"/>
        <v>9.2195363699789645E-3</v>
      </c>
      <c r="EU20" s="89">
        <f t="shared" si="25"/>
        <v>2.9249270993609855E-3</v>
      </c>
      <c r="EV20" s="350">
        <v>34121</v>
      </c>
      <c r="EW20" s="352">
        <f t="shared" si="21"/>
        <v>15.340890226622957</v>
      </c>
      <c r="EX20" s="352">
        <f t="shared" si="21"/>
        <v>14.860338146856726</v>
      </c>
      <c r="EY20" s="89">
        <f t="shared" si="36"/>
        <v>7.3129302761878456E-3</v>
      </c>
      <c r="EZ20" s="89">
        <f t="shared" si="36"/>
        <v>6.4210176613910264E-3</v>
      </c>
    </row>
    <row r="21" spans="1:156">
      <c r="A21" s="350">
        <v>40787</v>
      </c>
      <c r="B21" s="248" t="s">
        <v>428</v>
      </c>
      <c r="C21">
        <v>1020</v>
      </c>
      <c r="D21" s="89">
        <f t="shared" si="26"/>
        <v>1.3836858364407512E-2</v>
      </c>
      <c r="F21" s="248" t="s">
        <v>428</v>
      </c>
      <c r="G21">
        <v>1016</v>
      </c>
      <c r="H21" s="89">
        <f t="shared" si="22"/>
        <v>1.195219123505975E-2</v>
      </c>
      <c r="I21">
        <v>1021</v>
      </c>
      <c r="J21" s="89">
        <f t="shared" si="22"/>
        <v>7.8973346495556651E-3</v>
      </c>
      <c r="K21">
        <v>1026</v>
      </c>
      <c r="L21" s="89">
        <f t="shared" si="22"/>
        <v>2.39520958083832E-2</v>
      </c>
      <c r="N21" s="248" t="s">
        <v>428</v>
      </c>
      <c r="O21">
        <v>947.79771600000004</v>
      </c>
      <c r="P21" s="89">
        <f t="shared" si="18"/>
        <v>4.5904590532547029E-2</v>
      </c>
      <c r="Q21" s="89">
        <f t="shared" si="15"/>
        <v>4.3215207230244967E-3</v>
      </c>
      <c r="R21" s="88">
        <f t="shared" ref="R21:R56" si="43">R20*O21/O20</f>
        <v>929.27523117573708</v>
      </c>
      <c r="S21" s="89">
        <f t="shared" si="18"/>
        <v>2.5464836797409296E-2</v>
      </c>
      <c r="T21" s="89">
        <f t="shared" si="5"/>
        <v>4.3215207230244967E-3</v>
      </c>
      <c r="U21" s="89"/>
      <c r="V21" s="248" t="s">
        <v>428</v>
      </c>
      <c r="W21">
        <v>893.64957900000002</v>
      </c>
      <c r="X21" s="89">
        <f t="shared" si="23"/>
        <v>6.4721969252921507E-2</v>
      </c>
      <c r="Y21" s="88">
        <f t="shared" ref="Y21:Y47" si="44">Y20*W21/W20</f>
        <v>876.52584821889241</v>
      </c>
      <c r="Z21" s="89">
        <f t="shared" si="19"/>
        <v>4.4320222542964416E-2</v>
      </c>
      <c r="AA21" s="89">
        <f t="shared" si="6"/>
        <v>8.635578117871745E-3</v>
      </c>
      <c r="AB21" s="89"/>
      <c r="AC21" s="248" t="s">
        <v>428</v>
      </c>
      <c r="AD21">
        <v>36.86</v>
      </c>
      <c r="AE21">
        <v>25.74</v>
      </c>
      <c r="AF21">
        <v>27.76</v>
      </c>
      <c r="AG21" s="89">
        <f t="shared" si="27"/>
        <v>2.1715126978284927E-2</v>
      </c>
      <c r="AH21" s="89">
        <f t="shared" si="7"/>
        <v>-1.0338680926916144E-2</v>
      </c>
      <c r="AJ21" s="248" t="s">
        <v>428</v>
      </c>
      <c r="AK21">
        <v>32.1</v>
      </c>
      <c r="AL21" s="89">
        <f t="shared" si="28"/>
        <v>1.9047619047619202E-2</v>
      </c>
      <c r="AM21" s="89">
        <f t="shared" si="8"/>
        <v>3.7523452157599557E-3</v>
      </c>
      <c r="AO21" s="248" t="s">
        <v>428</v>
      </c>
      <c r="AP21" s="351">
        <v>26.58</v>
      </c>
      <c r="AQ21" s="89">
        <f t="shared" si="29"/>
        <v>3.223300970873777E-2</v>
      </c>
      <c r="AR21" s="89">
        <f t="shared" si="9"/>
        <v>1.1800532927293439E-2</v>
      </c>
      <c r="AT21" s="248" t="s">
        <v>428</v>
      </c>
      <c r="AU21" s="95">
        <v>150863800</v>
      </c>
      <c r="AV21" s="89">
        <f t="shared" si="30"/>
        <v>1.9467789859504148E-2</v>
      </c>
      <c r="AX21" s="248" t="s">
        <v>428</v>
      </c>
      <c r="AY21" s="95">
        <v>5433800</v>
      </c>
      <c r="AZ21" s="89">
        <f t="shared" si="31"/>
        <v>-2.4966038844219662E-3</v>
      </c>
      <c r="BA21" s="89">
        <f t="shared" si="34"/>
        <v>1.7956598677470348E-2</v>
      </c>
      <c r="BC21" s="248" t="s">
        <v>428</v>
      </c>
      <c r="BD21">
        <v>1039</v>
      </c>
      <c r="BE21">
        <v>1039</v>
      </c>
      <c r="BF21" t="s">
        <v>634</v>
      </c>
      <c r="BG21" s="118">
        <f t="shared" si="42"/>
        <v>1.7629774730656189E-2</v>
      </c>
      <c r="BH21" s="118">
        <f t="shared" si="42"/>
        <v>1.7629774730656189E-2</v>
      </c>
      <c r="BI21" s="118"/>
      <c r="BJ21" s="118">
        <f t="shared" si="39"/>
        <v>4.8355899419729731E-3</v>
      </c>
      <c r="BK21" s="350">
        <v>40787</v>
      </c>
      <c r="BL21" s="352">
        <v>13</v>
      </c>
      <c r="BM21" s="118">
        <f t="shared" si="32"/>
        <v>1.9607843137254832E-2</v>
      </c>
      <c r="BP21" s="350">
        <v>40787</v>
      </c>
      <c r="BQ21" s="352">
        <f t="shared" si="2"/>
        <v>30.050462793054464</v>
      </c>
      <c r="BR21" s="352">
        <f t="shared" si="3"/>
        <v>34.748553878135738</v>
      </c>
      <c r="BS21" s="352">
        <f t="shared" si="4"/>
        <v>28.773101622456323</v>
      </c>
      <c r="BV21" s="248" t="s">
        <v>428</v>
      </c>
      <c r="BW21">
        <v>1019</v>
      </c>
      <c r="BX21">
        <v>1039</v>
      </c>
      <c r="BY21">
        <v>1041</v>
      </c>
      <c r="BZ21" s="118">
        <f t="shared" si="40"/>
        <v>7.9129574678535874E-3</v>
      </c>
      <c r="CA21" s="118">
        <f t="shared" si="40"/>
        <v>1.7629774730656189E-2</v>
      </c>
      <c r="CB21" s="118">
        <f t="shared" si="40"/>
        <v>1.66015625E-2</v>
      </c>
      <c r="CD21" s="248" t="s">
        <v>428</v>
      </c>
      <c r="CE21">
        <v>1040</v>
      </c>
      <c r="CF21" s="118">
        <f t="shared" si="41"/>
        <v>1.7612524461839474E-2</v>
      </c>
      <c r="CG21" s="118">
        <f t="shared" si="37"/>
        <v>6.7763794772506269E-3</v>
      </c>
      <c r="CH21">
        <v>1040</v>
      </c>
      <c r="CI21" s="118">
        <f t="shared" si="20"/>
        <v>1.9607843137254832E-2</v>
      </c>
      <c r="CJ21" s="118">
        <f t="shared" si="38"/>
        <v>4.8309178743961567E-3</v>
      </c>
      <c r="CL21" s="248" t="s">
        <v>428</v>
      </c>
      <c r="CM21">
        <v>1020</v>
      </c>
      <c r="CN21">
        <v>1039</v>
      </c>
      <c r="CO21">
        <v>1039</v>
      </c>
      <c r="CQ21" s="248" t="s">
        <v>693</v>
      </c>
      <c r="CR21">
        <v>1138</v>
      </c>
      <c r="CS21" t="s">
        <v>634</v>
      </c>
      <c r="CT21">
        <v>1108</v>
      </c>
      <c r="CU21" t="s">
        <v>634</v>
      </c>
      <c r="CW21" s="248" t="s">
        <v>694</v>
      </c>
      <c r="CX21">
        <v>746.63942499999996</v>
      </c>
      <c r="CY21">
        <v>747.88925900000004</v>
      </c>
      <c r="CZ21">
        <v>755.36181299999998</v>
      </c>
      <c r="DB21" s="350">
        <v>38596</v>
      </c>
      <c r="DC21">
        <f t="shared" si="10"/>
        <v>1138</v>
      </c>
      <c r="DD21">
        <f t="shared" si="16"/>
        <v>1108</v>
      </c>
      <c r="DE21" s="89">
        <f t="shared" si="33"/>
        <v>4.2124542124542197E-2</v>
      </c>
      <c r="DF21" s="89">
        <f t="shared" si="33"/>
        <v>3.0697674418604715E-2</v>
      </c>
      <c r="DG21" s="89"/>
      <c r="DH21" s="248" t="s">
        <v>648</v>
      </c>
      <c r="DI21">
        <v>17.12</v>
      </c>
      <c r="DJ21">
        <v>14.12</v>
      </c>
      <c r="DK21">
        <v>14.91</v>
      </c>
      <c r="DM21" s="353">
        <v>34121</v>
      </c>
      <c r="DN21">
        <v>15.33</v>
      </c>
      <c r="DO21">
        <v>14.91</v>
      </c>
      <c r="DP21" s="365">
        <f t="shared" si="24"/>
        <v>9.2165898617511122E-3</v>
      </c>
      <c r="DQ21" s="365">
        <f t="shared" si="24"/>
        <v>2.6899798251514007E-3</v>
      </c>
      <c r="DR21" s="365">
        <f t="shared" si="35"/>
        <v>7.2967119143014791E-3</v>
      </c>
      <c r="DS21" s="365">
        <f t="shared" si="35"/>
        <v>6.2816094393243205E-3</v>
      </c>
      <c r="DU21" s="367">
        <v>36586</v>
      </c>
      <c r="DV21" s="368">
        <v>71.400000000000006</v>
      </c>
      <c r="DW21" s="368">
        <v>72.2</v>
      </c>
      <c r="DX21" s="369">
        <v>70.5</v>
      </c>
      <c r="DY21" s="367">
        <v>18688</v>
      </c>
      <c r="DZ21" s="368">
        <v>4.8</v>
      </c>
      <c r="EC21" s="350">
        <v>41518</v>
      </c>
      <c r="ED21">
        <f t="shared" si="17"/>
        <v>978.09098634543489</v>
      </c>
      <c r="EE21">
        <f t="shared" si="11"/>
        <v>976.26958786062028</v>
      </c>
      <c r="EF21">
        <f t="shared" si="12"/>
        <v>1031.1030586624058</v>
      </c>
      <c r="EG21">
        <f t="shared" si="13"/>
        <v>1026.4218999164707</v>
      </c>
      <c r="EJ21" s="248" t="s">
        <v>651</v>
      </c>
      <c r="EK21" s="95">
        <v>46761800</v>
      </c>
      <c r="EL21" s="95">
        <v>520878300</v>
      </c>
      <c r="EN21" s="248" t="s">
        <v>651</v>
      </c>
      <c r="EO21" s="95">
        <v>3059300</v>
      </c>
      <c r="EP21" s="95">
        <v>35079300</v>
      </c>
      <c r="ER21" s="352">
        <f t="shared" si="14"/>
        <v>15.285130585428039</v>
      </c>
      <c r="ES21" s="352">
        <f t="shared" si="14"/>
        <v>14.848594470243135</v>
      </c>
      <c r="ET21" s="89">
        <f t="shared" si="25"/>
        <v>4.2334508132779725E-3</v>
      </c>
      <c r="EU21" s="89">
        <f t="shared" si="25"/>
        <v>1.1332424152521448E-3</v>
      </c>
      <c r="EV21" s="350">
        <v>34213</v>
      </c>
      <c r="EW21" s="352">
        <f t="shared" si="21"/>
        <v>15.356454848941466</v>
      </c>
      <c r="EX21" s="352">
        <f t="shared" si="21"/>
        <v>14.864278657669345</v>
      </c>
      <c r="EY21" s="89">
        <f t="shared" si="36"/>
        <v>6.2636641162840956E-3</v>
      </c>
      <c r="EZ21" s="89">
        <f t="shared" si="36"/>
        <v>3.5437360995522749E-3</v>
      </c>
    </row>
    <row r="22" spans="1:156" ht="15" customHeight="1">
      <c r="A22" s="350">
        <v>40878</v>
      </c>
      <c r="B22" s="248" t="s">
        <v>433</v>
      </c>
      <c r="C22">
        <v>1024</v>
      </c>
      <c r="D22" s="89">
        <f t="shared" si="26"/>
        <v>2.4000000000000021E-2</v>
      </c>
      <c r="F22" s="248" t="s">
        <v>433</v>
      </c>
      <c r="G22">
        <v>1017</v>
      </c>
      <c r="H22" s="89">
        <f t="shared" si="22"/>
        <v>1.6999999999999904E-2</v>
      </c>
      <c r="I22">
        <v>1028</v>
      </c>
      <c r="J22" s="89">
        <f t="shared" si="22"/>
        <v>2.8000000000000025E-2</v>
      </c>
      <c r="K22">
        <v>1029</v>
      </c>
      <c r="L22" s="89">
        <f t="shared" si="22"/>
        <v>2.8999999999999915E-2</v>
      </c>
      <c r="N22" s="248" t="s">
        <v>433</v>
      </c>
      <c r="O22">
        <v>944.53507300000001</v>
      </c>
      <c r="P22" s="89">
        <f t="shared" si="18"/>
        <v>1.8469656573861126E-2</v>
      </c>
      <c r="Q22" s="89">
        <f t="shared" si="15"/>
        <v>-3.442341065949539E-3</v>
      </c>
      <c r="R22" s="88">
        <f t="shared" si="43"/>
        <v>926.07634888589109</v>
      </c>
      <c r="S22" s="89">
        <f t="shared" si="18"/>
        <v>1.8469656573861126E-2</v>
      </c>
      <c r="T22" s="89">
        <f t="shared" si="5"/>
        <v>-3.442341065949539E-3</v>
      </c>
      <c r="U22" s="89"/>
      <c r="V22" s="248" t="s">
        <v>433</v>
      </c>
      <c r="W22">
        <v>898.24024499999996</v>
      </c>
      <c r="X22" s="89">
        <f t="shared" si="23"/>
        <v>2.5327510571095946E-2</v>
      </c>
      <c r="Y22" s="88">
        <f t="shared" si="44"/>
        <v>881.02854984164958</v>
      </c>
      <c r="Z22" s="89">
        <f t="shared" si="19"/>
        <v>2.5327510571095724E-2</v>
      </c>
      <c r="AA22" s="89">
        <f t="shared" si="6"/>
        <v>5.136986698003998E-3</v>
      </c>
      <c r="AB22" s="89"/>
      <c r="AC22" s="248" t="s">
        <v>433</v>
      </c>
      <c r="AD22">
        <v>37.9</v>
      </c>
      <c r="AE22">
        <v>26.01</v>
      </c>
      <c r="AF22">
        <v>28.21</v>
      </c>
      <c r="AG22" s="89">
        <f t="shared" si="27"/>
        <v>2.881108679795763E-2</v>
      </c>
      <c r="AH22" s="89">
        <f t="shared" si="7"/>
        <v>1.6210374639769487E-2</v>
      </c>
      <c r="AJ22" s="248" t="s">
        <v>433</v>
      </c>
      <c r="AK22">
        <v>32.409999999999997</v>
      </c>
      <c r="AL22" s="89">
        <f t="shared" si="28"/>
        <v>3.0197075651620997E-2</v>
      </c>
      <c r="AM22" s="89">
        <f t="shared" si="8"/>
        <v>9.657320872273889E-3</v>
      </c>
      <c r="AO22" s="248" t="s">
        <v>433</v>
      </c>
      <c r="AP22" s="351">
        <v>26.59</v>
      </c>
      <c r="AQ22" s="89">
        <f t="shared" si="29"/>
        <v>2.8228924980665093E-2</v>
      </c>
      <c r="AR22" s="89">
        <f t="shared" si="9"/>
        <v>3.7622272385262612E-4</v>
      </c>
      <c r="AT22" s="248" t="s">
        <v>433</v>
      </c>
      <c r="AU22" s="95">
        <v>152487700</v>
      </c>
      <c r="AV22" s="89">
        <f t="shared" si="30"/>
        <v>1.0282524280206706E-2</v>
      </c>
      <c r="AX22" s="248" t="s">
        <v>433</v>
      </c>
      <c r="AY22" s="95">
        <v>5406200</v>
      </c>
      <c r="AZ22" s="89">
        <f t="shared" si="31"/>
        <v>-1.7733202514626289E-2</v>
      </c>
      <c r="BA22" s="89">
        <f t="shared" si="34"/>
        <v>1.0073550719638114E-3</v>
      </c>
      <c r="BC22" s="248" t="s">
        <v>433</v>
      </c>
      <c r="BD22">
        <v>1043</v>
      </c>
      <c r="BE22">
        <v>1043</v>
      </c>
      <c r="BF22" t="s">
        <v>634</v>
      </c>
      <c r="BG22" s="118">
        <f t="shared" si="42"/>
        <v>1.7560975609756113E-2</v>
      </c>
      <c r="BH22" s="118">
        <f t="shared" si="42"/>
        <v>1.7560975609756113E-2</v>
      </c>
      <c r="BI22" s="118"/>
      <c r="BJ22" s="118">
        <f t="shared" si="39"/>
        <v>3.8498556304138454E-3</v>
      </c>
      <c r="BK22" s="350">
        <v>40878</v>
      </c>
      <c r="BL22" s="352">
        <v>13</v>
      </c>
      <c r="BM22" s="118">
        <f t="shared" si="32"/>
        <v>1.9607843137254832E-2</v>
      </c>
      <c r="BP22" s="350">
        <v>40878</v>
      </c>
      <c r="BQ22" s="352">
        <f t="shared" si="2"/>
        <v>30.643075971833181</v>
      </c>
      <c r="BR22" s="352">
        <f t="shared" si="3"/>
        <v>35.205320533396431</v>
      </c>
      <c r="BS22" s="352">
        <f t="shared" si="4"/>
        <v>28.883353069515927</v>
      </c>
      <c r="BV22" s="248" t="s">
        <v>433</v>
      </c>
      <c r="BW22">
        <v>1024</v>
      </c>
      <c r="BX22">
        <v>1040</v>
      </c>
      <c r="BY22">
        <v>1045</v>
      </c>
      <c r="BZ22" s="118">
        <f t="shared" si="40"/>
        <v>1.0858835143139123E-2</v>
      </c>
      <c r="CA22" s="118">
        <f t="shared" si="40"/>
        <v>1.6617790811339184E-2</v>
      </c>
      <c r="CB22" s="118">
        <f t="shared" si="40"/>
        <v>1.7526777020447915E-2</v>
      </c>
      <c r="CD22" s="248" t="s">
        <v>433</v>
      </c>
      <c r="CE22">
        <v>1046</v>
      </c>
      <c r="CF22" s="118">
        <f t="shared" si="41"/>
        <v>1.8500486854917231E-2</v>
      </c>
      <c r="CG22" s="118">
        <f t="shared" si="37"/>
        <v>5.7692307692307487E-3</v>
      </c>
      <c r="CH22">
        <v>1047</v>
      </c>
      <c r="CI22" s="118">
        <f t="shared" si="20"/>
        <v>2.0467836257309857E-2</v>
      </c>
      <c r="CJ22" s="118">
        <f t="shared" si="38"/>
        <v>6.7307692307692069E-3</v>
      </c>
      <c r="CL22" s="248" t="s">
        <v>433</v>
      </c>
      <c r="CM22">
        <v>1024</v>
      </c>
      <c r="CN22">
        <v>1043</v>
      </c>
      <c r="CO22">
        <v>1040</v>
      </c>
      <c r="CQ22" s="248" t="s">
        <v>695</v>
      </c>
      <c r="CR22">
        <v>1149</v>
      </c>
      <c r="CS22" t="s">
        <v>634</v>
      </c>
      <c r="CT22">
        <v>1117</v>
      </c>
      <c r="CU22" t="s">
        <v>634</v>
      </c>
      <c r="CW22" s="248" t="s">
        <v>696</v>
      </c>
      <c r="CX22">
        <v>750.826188</v>
      </c>
      <c r="CY22">
        <v>752.08695399999999</v>
      </c>
      <c r="CZ22">
        <v>759.54664300000002</v>
      </c>
      <c r="DB22" s="350">
        <v>38687</v>
      </c>
      <c r="DC22">
        <f t="shared" si="10"/>
        <v>1149</v>
      </c>
      <c r="DD22">
        <f t="shared" si="16"/>
        <v>1117</v>
      </c>
      <c r="DE22" s="89">
        <f t="shared" si="33"/>
        <v>4.644808743169393E-2</v>
      </c>
      <c r="DF22" s="89">
        <f t="shared" si="33"/>
        <v>3.0442804428044257E-2</v>
      </c>
      <c r="DG22" s="89"/>
      <c r="DH22" s="248" t="s">
        <v>651</v>
      </c>
      <c r="DI22">
        <v>17.09</v>
      </c>
      <c r="DJ22">
        <v>14.04</v>
      </c>
      <c r="DK22">
        <v>14.85</v>
      </c>
      <c r="DM22" s="353">
        <v>34213</v>
      </c>
      <c r="DN22">
        <v>15.29</v>
      </c>
      <c r="DO22">
        <v>14.85</v>
      </c>
      <c r="DP22" s="365">
        <f t="shared" si="24"/>
        <v>4.5992115637318864E-3</v>
      </c>
      <c r="DQ22" s="365">
        <f t="shared" si="24"/>
        <v>1.3486176668913163E-3</v>
      </c>
      <c r="DR22" s="365">
        <f t="shared" si="35"/>
        <v>6.4592560243750263E-3</v>
      </c>
      <c r="DS22" s="365">
        <f t="shared" si="35"/>
        <v>3.3809302302729716E-3</v>
      </c>
      <c r="DU22" s="367">
        <v>36678</v>
      </c>
      <c r="DV22" s="368">
        <v>71.8</v>
      </c>
      <c r="DW22" s="368">
        <v>72.5</v>
      </c>
      <c r="DX22" s="369">
        <v>71.099999999999994</v>
      </c>
      <c r="DY22" s="367">
        <v>18780</v>
      </c>
      <c r="DZ22" s="368">
        <v>5.0999999999999996</v>
      </c>
      <c r="EC22" s="350">
        <v>41609</v>
      </c>
      <c r="ED22">
        <f t="shared" si="17"/>
        <v>980.907407757633</v>
      </c>
      <c r="EE22">
        <f t="shared" si="11"/>
        <v>976.35774445634524</v>
      </c>
      <c r="EF22">
        <f t="shared" si="12"/>
        <v>1031.1232926359662</v>
      </c>
      <c r="EG22">
        <f t="shared" si="13"/>
        <v>1029.9625856235355</v>
      </c>
      <c r="EJ22" s="248" t="s">
        <v>654</v>
      </c>
      <c r="EK22" s="95">
        <v>46491400</v>
      </c>
      <c r="EL22" s="95">
        <v>535393000</v>
      </c>
      <c r="EN22" s="248" t="s">
        <v>654</v>
      </c>
      <c r="EO22" s="95">
        <v>3039900</v>
      </c>
      <c r="EP22" s="95">
        <v>35952100</v>
      </c>
      <c r="ER22" s="352">
        <f t="shared" si="14"/>
        <v>15.293726767327872</v>
      </c>
      <c r="ES22" s="352">
        <f t="shared" si="14"/>
        <v>14.891842201150975</v>
      </c>
      <c r="ET22" s="89">
        <f t="shared" si="25"/>
        <v>-4.8915678884160485E-3</v>
      </c>
      <c r="EU22" s="89">
        <f t="shared" si="25"/>
        <v>2.6407669663517375E-3</v>
      </c>
      <c r="EV22" s="350">
        <v>34304</v>
      </c>
      <c r="EW22" s="352">
        <f t="shared" si="21"/>
        <v>15.337639032458135</v>
      </c>
      <c r="EX22" s="352">
        <f t="shared" si="21"/>
        <v>14.874119939630869</v>
      </c>
      <c r="EY22" s="89">
        <f t="shared" si="36"/>
        <v>-9.3457411213249131E-6</v>
      </c>
      <c r="EZ22" s="89">
        <f t="shared" si="36"/>
        <v>1.9326230600489325E-3</v>
      </c>
    </row>
    <row r="23" spans="1:156" ht="15" customHeight="1">
      <c r="A23" s="350">
        <v>40969</v>
      </c>
      <c r="B23" s="248" t="s">
        <v>437</v>
      </c>
      <c r="C23">
        <v>1027</v>
      </c>
      <c r="D23" s="89">
        <f>C23/C19-1</f>
        <v>1.6831683168316847E-2</v>
      </c>
      <c r="F23" s="248" t="s">
        <v>437</v>
      </c>
      <c r="G23">
        <v>1018</v>
      </c>
      <c r="H23" s="89">
        <f t="shared" si="22"/>
        <v>9.9206349206348854E-3</v>
      </c>
      <c r="I23">
        <v>1031</v>
      </c>
      <c r="J23" s="89">
        <f t="shared" si="22"/>
        <v>1.9782393669633969E-2</v>
      </c>
      <c r="K23">
        <v>1034</v>
      </c>
      <c r="L23" s="89">
        <f t="shared" si="22"/>
        <v>2.1739130434782705E-2</v>
      </c>
      <c r="N23" s="248" t="s">
        <v>437</v>
      </c>
      <c r="O23">
        <v>949.42903799999999</v>
      </c>
      <c r="P23" s="89">
        <f t="shared" ref="P23:P50" si="45">O23/O19-1</f>
        <v>1.570680699966176E-2</v>
      </c>
      <c r="Q23" s="89">
        <f t="shared" si="15"/>
        <v>5.1813480937832335E-3</v>
      </c>
      <c r="R23" s="88">
        <f t="shared" si="43"/>
        <v>930.8746728108888</v>
      </c>
      <c r="S23" s="89">
        <f t="shared" ref="S23:S47" si="46">R23/R19-1</f>
        <v>1.570680699966176E-2</v>
      </c>
      <c r="T23" s="89">
        <f t="shared" si="5"/>
        <v>5.1813480937832335E-3</v>
      </c>
      <c r="U23" s="89"/>
      <c r="V23" s="248" t="s">
        <v>437</v>
      </c>
      <c r="W23">
        <v>900.53557799999999</v>
      </c>
      <c r="X23" s="89">
        <f t="shared" si="23"/>
        <v>1.9930676312269302E-2</v>
      </c>
      <c r="Y23" s="88">
        <f t="shared" si="44"/>
        <v>883.27990065302822</v>
      </c>
      <c r="Z23" s="89">
        <f t="shared" si="19"/>
        <v>1.993067631226908E-2</v>
      </c>
      <c r="AA23" s="89">
        <f t="shared" si="6"/>
        <v>2.5553664654605068E-3</v>
      </c>
      <c r="AB23" s="89"/>
      <c r="AC23" s="248" t="s">
        <v>437</v>
      </c>
      <c r="AD23">
        <v>37.56</v>
      </c>
      <c r="AE23">
        <v>26.29</v>
      </c>
      <c r="AF23">
        <v>28.43</v>
      </c>
      <c r="AG23" s="89">
        <f t="shared" si="27"/>
        <v>1.936177841520248E-2</v>
      </c>
      <c r="AH23" s="89">
        <f t="shared" si="7"/>
        <v>7.7986529599431975E-3</v>
      </c>
      <c r="AJ23" s="248" t="s">
        <v>437</v>
      </c>
      <c r="AK23">
        <v>32.46</v>
      </c>
      <c r="AL23" s="89">
        <f t="shared" si="28"/>
        <v>3.441682600382423E-2</v>
      </c>
      <c r="AM23" s="89">
        <f t="shared" si="8"/>
        <v>1.5427337241593619E-3</v>
      </c>
      <c r="AO23" s="248" t="s">
        <v>437</v>
      </c>
      <c r="AP23" s="351">
        <v>26.96</v>
      </c>
      <c r="AQ23" s="89">
        <f t="shared" si="29"/>
        <v>3.8520801232665658E-2</v>
      </c>
      <c r="AR23" s="89">
        <f t="shared" si="9"/>
        <v>1.3915005641218503E-2</v>
      </c>
      <c r="AT23" s="248" t="s">
        <v>437</v>
      </c>
      <c r="AU23" s="95">
        <v>156316700</v>
      </c>
      <c r="AV23" s="89">
        <f>AU23/AU19-1</f>
        <v>2.4584785984286039E-2</v>
      </c>
      <c r="AX23" s="248" t="s">
        <v>437</v>
      </c>
      <c r="AY23" s="95">
        <v>5497400</v>
      </c>
      <c r="AZ23" s="89">
        <f>AY23/AY19-1</f>
        <v>4.9356536999123346E-3</v>
      </c>
      <c r="BA23" s="89">
        <f>SUM(AY20:AY23)/SUM(AY16:AY19)-1</f>
        <v>-2.4447862872212234E-3</v>
      </c>
      <c r="BC23" s="248" t="s">
        <v>437</v>
      </c>
      <c r="BD23">
        <v>1047</v>
      </c>
      <c r="BE23">
        <v>1047</v>
      </c>
      <c r="BF23" t="s">
        <v>634</v>
      </c>
      <c r="BG23" s="118">
        <f t="shared" si="42"/>
        <v>1.3552758954501476E-2</v>
      </c>
      <c r="BH23" s="118">
        <f t="shared" si="42"/>
        <v>1.3552758954501476E-2</v>
      </c>
      <c r="BI23" s="118"/>
      <c r="BJ23" s="118">
        <f t="shared" si="39"/>
        <v>3.835091083413289E-3</v>
      </c>
      <c r="BK23" s="350">
        <v>40969</v>
      </c>
      <c r="BL23" s="352">
        <v>13</v>
      </c>
      <c r="BM23" s="118">
        <f t="shared" si="32"/>
        <v>1.9607843137254832E-2</v>
      </c>
      <c r="BP23" s="350">
        <v>40969</v>
      </c>
      <c r="BQ23" s="352">
        <f t="shared" si="2"/>
        <v>30.722864829841029</v>
      </c>
      <c r="BR23" s="352">
        <f t="shared" si="3"/>
        <v>35.07788225032148</v>
      </c>
      <c r="BS23" s="352">
        <f t="shared" si="4"/>
        <v>29.13431008837545</v>
      </c>
      <c r="BV23" s="248" t="s">
        <v>437</v>
      </c>
      <c r="BW23">
        <v>1024</v>
      </c>
      <c r="BX23">
        <v>1045</v>
      </c>
      <c r="BY23">
        <v>1048</v>
      </c>
      <c r="BZ23" s="118">
        <f t="shared" si="40"/>
        <v>9.8619329388560661E-3</v>
      </c>
      <c r="CA23" s="118">
        <f t="shared" si="40"/>
        <v>9.6618357487923134E-3</v>
      </c>
      <c r="CB23" s="118">
        <f t="shared" si="40"/>
        <v>1.5503875968992276E-2</v>
      </c>
      <c r="CD23" s="248" t="s">
        <v>437</v>
      </c>
      <c r="CE23">
        <v>1049</v>
      </c>
      <c r="CF23" s="118">
        <f t="shared" si="41"/>
        <v>1.7458777885547949E-2</v>
      </c>
      <c r="CG23" s="118">
        <f t="shared" si="37"/>
        <v>2.8680688336519822E-3</v>
      </c>
      <c r="CH23">
        <v>1052</v>
      </c>
      <c r="CI23" s="118">
        <f t="shared" si="20"/>
        <v>2.1359223300970953E-2</v>
      </c>
      <c r="CJ23" s="118">
        <f t="shared" si="38"/>
        <v>4.7755491881567025E-3</v>
      </c>
      <c r="CL23" s="248" t="s">
        <v>437</v>
      </c>
      <c r="CM23">
        <v>1024</v>
      </c>
      <c r="CN23">
        <v>1047</v>
      </c>
      <c r="CO23">
        <v>1045</v>
      </c>
      <c r="CQ23" s="248" t="s">
        <v>697</v>
      </c>
      <c r="CR23">
        <v>1160</v>
      </c>
      <c r="CS23" t="s">
        <v>634</v>
      </c>
      <c r="CT23">
        <v>1124</v>
      </c>
      <c r="CU23" t="s">
        <v>634</v>
      </c>
      <c r="CW23" s="248" t="s">
        <v>698</v>
      </c>
      <c r="CX23">
        <v>755.01295100000004</v>
      </c>
      <c r="CY23">
        <v>755.58503299999995</v>
      </c>
      <c r="CZ23">
        <v>763.73147300000005</v>
      </c>
      <c r="DB23" s="350">
        <v>38777</v>
      </c>
      <c r="DC23">
        <f t="shared" si="10"/>
        <v>1160</v>
      </c>
      <c r="DD23">
        <f t="shared" si="16"/>
        <v>1124</v>
      </c>
      <c r="DE23" s="89">
        <f t="shared" si="33"/>
        <v>4.8824593128390603E-2</v>
      </c>
      <c r="DF23" s="89">
        <f t="shared" si="33"/>
        <v>3.2139577594123114E-2</v>
      </c>
      <c r="DG23" s="89"/>
      <c r="DH23" s="248" t="s">
        <v>654</v>
      </c>
      <c r="DI23">
        <v>17.13</v>
      </c>
      <c r="DJ23">
        <v>14.11</v>
      </c>
      <c r="DK23">
        <v>14.89</v>
      </c>
      <c r="DM23" s="353">
        <v>34304</v>
      </c>
      <c r="DN23">
        <v>15.29</v>
      </c>
      <c r="DO23">
        <v>14.89</v>
      </c>
      <c r="DP23" s="365">
        <f t="shared" si="24"/>
        <v>-5.2049446974625768E-3</v>
      </c>
      <c r="DQ23" s="365">
        <f t="shared" si="24"/>
        <v>2.693602693602859E-3</v>
      </c>
      <c r="DR23" s="365">
        <f t="shared" si="35"/>
        <v>4.0017031825545502E-5</v>
      </c>
      <c r="DS23" s="365">
        <f t="shared" si="35"/>
        <v>1.8512465550384327E-3</v>
      </c>
      <c r="DU23" s="367">
        <v>36770</v>
      </c>
      <c r="DV23" s="368">
        <v>72.5</v>
      </c>
      <c r="DW23" s="368">
        <v>73.3</v>
      </c>
      <c r="DX23" s="369">
        <v>71.5</v>
      </c>
      <c r="DY23" s="367">
        <v>18872</v>
      </c>
      <c r="DZ23" s="368">
        <v>5.3</v>
      </c>
      <c r="EC23" s="350">
        <v>41699</v>
      </c>
      <c r="ED23">
        <f t="shared" si="17"/>
        <v>978.52265109515838</v>
      </c>
      <c r="EE23">
        <f t="shared" si="11"/>
        <v>973.08137592688126</v>
      </c>
      <c r="EF23">
        <f t="shared" si="12"/>
        <v>1031.356220098837</v>
      </c>
      <c r="EG23">
        <f t="shared" si="13"/>
        <v>1030.1900717615968</v>
      </c>
      <c r="EJ23" s="248" t="s">
        <v>657</v>
      </c>
      <c r="EK23" s="95">
        <v>48039800</v>
      </c>
      <c r="EL23" s="95">
        <v>555002200</v>
      </c>
      <c r="EN23" s="248" t="s">
        <v>657</v>
      </c>
      <c r="EO23" s="95">
        <v>3082700</v>
      </c>
      <c r="EP23" s="95">
        <v>37052500</v>
      </c>
      <c r="ER23" s="352">
        <f t="shared" si="14"/>
        <v>15.583676647095078</v>
      </c>
      <c r="ES23" s="352">
        <f t="shared" si="14"/>
        <v>14.97880574859996</v>
      </c>
      <c r="ET23" s="89">
        <f t="shared" si="25"/>
        <v>9.2908155901494371E-3</v>
      </c>
      <c r="EU23" s="89">
        <f t="shared" si="25"/>
        <v>9.1332673248709639E-3</v>
      </c>
      <c r="EV23" s="350">
        <v>34394</v>
      </c>
      <c r="EW23" s="352">
        <f t="shared" ref="EW23:EX38" si="47">SUM(EK20:EK23)/SUM(EO20:EO23)</f>
        <v>15.374875161675863</v>
      </c>
      <c r="EX23" s="352">
        <f t="shared" si="47"/>
        <v>14.908852137974707</v>
      </c>
      <c r="EY23" s="89">
        <f t="shared" si="36"/>
        <v>4.5326179610172268E-3</v>
      </c>
      <c r="EZ23" s="89">
        <f t="shared" si="36"/>
        <v>4.01177961101018E-3</v>
      </c>
    </row>
    <row r="24" spans="1:156" ht="15" customHeight="1">
      <c r="A24" s="360">
        <v>41061</v>
      </c>
      <c r="B24" s="361" t="s">
        <v>442</v>
      </c>
      <c r="C24" s="362">
        <v>1035</v>
      </c>
      <c r="D24" s="363">
        <f>C24/C20-1</f>
        <v>1.9704433497536922E-2</v>
      </c>
      <c r="F24" s="248" t="s">
        <v>442</v>
      </c>
      <c r="G24">
        <v>1028</v>
      </c>
      <c r="H24" s="363">
        <f t="shared" si="22"/>
        <v>1.7821782178217838E-2</v>
      </c>
      <c r="I24">
        <v>1036</v>
      </c>
      <c r="J24" s="363">
        <f t="shared" si="22"/>
        <v>1.8682399213372669E-2</v>
      </c>
      <c r="K24">
        <v>1044</v>
      </c>
      <c r="L24" s="363">
        <f t="shared" si="22"/>
        <v>2.5540275049115824E-2</v>
      </c>
      <c r="N24" s="248" t="s">
        <v>442</v>
      </c>
      <c r="O24">
        <v>952.69168000000002</v>
      </c>
      <c r="P24" s="363">
        <f t="shared" si="45"/>
        <v>9.5073460145087552E-3</v>
      </c>
      <c r="Q24" s="363">
        <f t="shared" si="15"/>
        <v>3.4364253350338547E-3</v>
      </c>
      <c r="R24" s="88">
        <f t="shared" si="43"/>
        <v>934.07355412027755</v>
      </c>
      <c r="S24" s="363">
        <f t="shared" si="46"/>
        <v>9.5073460145087552E-3</v>
      </c>
      <c r="T24" s="89">
        <f t="shared" si="5"/>
        <v>3.4364253350338547E-3</v>
      </c>
      <c r="U24" s="89"/>
      <c r="V24" s="248" t="s">
        <v>442</v>
      </c>
      <c r="W24">
        <v>904.361132</v>
      </c>
      <c r="X24" s="363">
        <f t="shared" si="23"/>
        <v>2.0725387934360739E-2</v>
      </c>
      <c r="Y24" s="88">
        <f t="shared" si="44"/>
        <v>887.03215102448758</v>
      </c>
      <c r="Z24" s="363">
        <f t="shared" si="19"/>
        <v>2.0725387934360517E-2</v>
      </c>
      <c r="AA24" s="89">
        <f t="shared" si="6"/>
        <v>4.2480875752808345E-3</v>
      </c>
      <c r="AB24" s="89"/>
      <c r="AC24" s="248" t="s">
        <v>442</v>
      </c>
      <c r="AD24">
        <v>37.85</v>
      </c>
      <c r="AE24">
        <v>26.6</v>
      </c>
      <c r="AF24">
        <v>28.71</v>
      </c>
      <c r="AG24" s="363">
        <f t="shared" si="27"/>
        <v>2.3529411764705799E-2</v>
      </c>
      <c r="AH24" s="363">
        <f t="shared" si="7"/>
        <v>9.8487513190292919E-3</v>
      </c>
      <c r="AJ24" s="248" t="s">
        <v>442</v>
      </c>
      <c r="AK24">
        <v>32.56</v>
      </c>
      <c r="AL24" s="363">
        <f t="shared" si="28"/>
        <v>1.8136335209506083E-2</v>
      </c>
      <c r="AM24" s="363">
        <f t="shared" si="8"/>
        <v>3.0807147258165024E-3</v>
      </c>
      <c r="AO24" s="248" t="s">
        <v>442</v>
      </c>
      <c r="AP24" s="351">
        <v>27</v>
      </c>
      <c r="AQ24" s="363">
        <f t="shared" si="29"/>
        <v>2.7788351732013661E-2</v>
      </c>
      <c r="AR24" s="363">
        <f t="shared" si="9"/>
        <v>1.4836795252224366E-3</v>
      </c>
      <c r="AT24" s="248" t="s">
        <v>442</v>
      </c>
      <c r="AU24" s="95">
        <v>160645200</v>
      </c>
      <c r="AV24" s="363">
        <f>AU24/AU20-1</f>
        <v>5.0363371855435934E-2</v>
      </c>
      <c r="AX24" s="248" t="s">
        <v>442</v>
      </c>
      <c r="AY24" s="95">
        <v>5596300</v>
      </c>
      <c r="AZ24" s="363">
        <f>AY24/AY20-1</f>
        <v>2.6542666373174928E-2</v>
      </c>
      <c r="BA24" s="363">
        <f>SUM(AY21:AY24)/SUM(AY17:AY20)-1</f>
        <v>2.7659418832177707E-3</v>
      </c>
      <c r="BC24" s="248" t="s">
        <v>442</v>
      </c>
      <c r="BD24">
        <v>1054</v>
      </c>
      <c r="BE24">
        <v>1054</v>
      </c>
      <c r="BF24">
        <v>1069</v>
      </c>
      <c r="BG24" s="363">
        <f>BD24/BD20-1</f>
        <v>1.934235976789167E-2</v>
      </c>
      <c r="BH24" s="363">
        <f>BE24/BE20-1</f>
        <v>1.934235976789167E-2</v>
      </c>
      <c r="BI24" s="363">
        <f>BF24/BF20-1</f>
        <v>2.887391722810384E-2</v>
      </c>
      <c r="BJ24" s="118">
        <f t="shared" si="39"/>
        <v>6.6857688634192058E-3</v>
      </c>
      <c r="BK24" s="360">
        <v>41061</v>
      </c>
      <c r="BL24" s="364">
        <v>13.5</v>
      </c>
      <c r="BM24" s="363">
        <f t="shared" si="32"/>
        <v>3.8461538461538547E-2</v>
      </c>
      <c r="BP24" s="350">
        <v>41061</v>
      </c>
      <c r="BQ24" s="352">
        <f t="shared" si="2"/>
        <v>30.919195179703888</v>
      </c>
      <c r="BR24" s="352">
        <f t="shared" si="3"/>
        <v>35.06544740686725</v>
      </c>
      <c r="BS24" s="352">
        <f t="shared" si="4"/>
        <v>29.077613021665098</v>
      </c>
      <c r="BV24" s="248" t="s">
        <v>442</v>
      </c>
      <c r="BW24">
        <v>1025</v>
      </c>
      <c r="BX24">
        <v>1055</v>
      </c>
      <c r="BY24">
        <v>1052</v>
      </c>
      <c r="BZ24" s="363">
        <f t="shared" si="40"/>
        <v>9.8522167487684609E-3</v>
      </c>
      <c r="CA24" s="363">
        <f t="shared" si="40"/>
        <v>1.9323671497584627E-2</v>
      </c>
      <c r="CB24" s="363">
        <f t="shared" si="40"/>
        <v>1.6425120772946888E-2</v>
      </c>
      <c r="CD24" s="248" t="s">
        <v>442</v>
      </c>
      <c r="CE24">
        <v>1054</v>
      </c>
      <c r="CF24" s="118">
        <f t="shared" si="41"/>
        <v>2.0329138431752103E-2</v>
      </c>
      <c r="CG24" s="118">
        <f t="shared" si="37"/>
        <v>4.7664442326025291E-3</v>
      </c>
      <c r="CH24">
        <v>1057</v>
      </c>
      <c r="CI24" s="118">
        <f t="shared" si="20"/>
        <v>2.1256038647343045E-2</v>
      </c>
      <c r="CJ24" s="118">
        <f t="shared" si="38"/>
        <v>4.7528517110266844E-3</v>
      </c>
      <c r="CL24" s="248" t="s">
        <v>442</v>
      </c>
      <c r="CM24">
        <v>1025</v>
      </c>
      <c r="CN24">
        <v>1054</v>
      </c>
      <c r="CO24">
        <v>1055</v>
      </c>
      <c r="CQ24" s="248" t="s">
        <v>699</v>
      </c>
      <c r="CR24">
        <v>1167</v>
      </c>
      <c r="CS24">
        <v>1164</v>
      </c>
      <c r="CT24">
        <v>1131</v>
      </c>
      <c r="CU24">
        <v>1127</v>
      </c>
      <c r="CW24" s="248" t="s">
        <v>700</v>
      </c>
      <c r="CX24">
        <v>757.804126</v>
      </c>
      <c r="CY24">
        <v>759.08311200000003</v>
      </c>
      <c r="CZ24">
        <v>765.82388800000001</v>
      </c>
      <c r="DB24" s="350">
        <v>38869</v>
      </c>
      <c r="DC24">
        <f t="shared" si="10"/>
        <v>1167</v>
      </c>
      <c r="DD24">
        <f t="shared" si="16"/>
        <v>1131</v>
      </c>
      <c r="DE24" s="89">
        <f t="shared" si="33"/>
        <v>3.7333333333333441E-2</v>
      </c>
      <c r="DF24" s="89">
        <f t="shared" si="33"/>
        <v>3.0993618960802216E-2</v>
      </c>
      <c r="DG24" s="89"/>
      <c r="DH24" s="248" t="s">
        <v>657</v>
      </c>
      <c r="DI24">
        <v>17.28</v>
      </c>
      <c r="DJ24">
        <v>14.23</v>
      </c>
      <c r="DK24">
        <v>14.98</v>
      </c>
      <c r="DM24" s="353">
        <v>34394</v>
      </c>
      <c r="DN24">
        <v>15.58</v>
      </c>
      <c r="DO24">
        <v>14.98</v>
      </c>
      <c r="DP24" s="365">
        <f t="shared" si="24"/>
        <v>9.0673575129534001E-3</v>
      </c>
      <c r="DQ24" s="365">
        <f t="shared" si="24"/>
        <v>9.4339622641510523E-3</v>
      </c>
      <c r="DR24" s="365">
        <f t="shared" si="35"/>
        <v>4.4024127762789522E-3</v>
      </c>
      <c r="DS24" s="365">
        <f t="shared" si="35"/>
        <v>4.0365749108908222E-3</v>
      </c>
      <c r="DU24" s="367">
        <v>36861</v>
      </c>
      <c r="DV24" s="368">
        <v>73.099999999999994</v>
      </c>
      <c r="DW24" s="368">
        <v>73.8</v>
      </c>
      <c r="DX24" s="369">
        <v>72.2</v>
      </c>
      <c r="DY24" s="367">
        <v>18963</v>
      </c>
      <c r="DZ24" s="368">
        <v>5.7</v>
      </c>
      <c r="EC24" s="350">
        <v>41791</v>
      </c>
      <c r="ED24">
        <f t="shared" si="17"/>
        <v>979.6845189734986</v>
      </c>
      <c r="EE24">
        <f t="shared" si="11"/>
        <v>974.2569039099335</v>
      </c>
      <c r="EF24">
        <f t="shared" si="12"/>
        <v>1030.8252284362102</v>
      </c>
      <c r="EG24">
        <f t="shared" si="13"/>
        <v>1031.3879901227388</v>
      </c>
      <c r="EJ24" s="248" t="s">
        <v>660</v>
      </c>
      <c r="EK24" s="95">
        <v>48905700</v>
      </c>
      <c r="EL24" s="95">
        <v>568271700</v>
      </c>
      <c r="EN24" s="248" t="s">
        <v>660</v>
      </c>
      <c r="EO24" s="95">
        <v>3169600</v>
      </c>
      <c r="EP24" s="95">
        <v>37637500</v>
      </c>
      <c r="ER24" s="352">
        <f t="shared" si="14"/>
        <v>15.42961256940939</v>
      </c>
      <c r="ES24" s="352">
        <f t="shared" si="14"/>
        <v>15.098550647625373</v>
      </c>
      <c r="ET24" s="89">
        <f t="shared" ref="ET24:EU39" si="48">ER24/ER20-1</f>
        <v>6.2012143207750281E-3</v>
      </c>
      <c r="EU24" s="89">
        <f t="shared" si="48"/>
        <v>1.2467292741149993E-2</v>
      </c>
      <c r="EV24" s="350">
        <v>34486</v>
      </c>
      <c r="EW24" s="352">
        <f t="shared" si="47"/>
        <v>15.398834149698418</v>
      </c>
      <c r="EX24" s="352">
        <f t="shared" si="47"/>
        <v>14.956932887002184</v>
      </c>
      <c r="EY24" s="89">
        <f t="shared" si="36"/>
        <v>3.7770900006117714E-3</v>
      </c>
      <c r="EZ24" s="89">
        <f t="shared" si="36"/>
        <v>6.5001710722101258E-3</v>
      </c>
    </row>
    <row r="25" spans="1:156">
      <c r="A25" s="350">
        <v>41153</v>
      </c>
      <c r="B25" s="248" t="s">
        <v>446</v>
      </c>
      <c r="C25">
        <v>1043</v>
      </c>
      <c r="D25" s="89">
        <f>C25/C21-1</f>
        <v>2.2549019607843057E-2</v>
      </c>
      <c r="F25" s="248" t="s">
        <v>446</v>
      </c>
      <c r="G25">
        <v>1042</v>
      </c>
      <c r="H25" s="89">
        <f t="shared" si="22"/>
        <v>2.5590551181102317E-2</v>
      </c>
      <c r="I25">
        <v>1042</v>
      </c>
      <c r="J25" s="89">
        <f t="shared" si="22"/>
        <v>2.0568070519098924E-2</v>
      </c>
      <c r="K25">
        <v>1047</v>
      </c>
      <c r="L25" s="89">
        <f t="shared" si="22"/>
        <v>2.0467836257309857E-2</v>
      </c>
      <c r="N25" s="248" t="s">
        <v>446</v>
      </c>
      <c r="O25">
        <v>955.13866199999995</v>
      </c>
      <c r="P25" s="89">
        <f t="shared" si="45"/>
        <v>7.7452666070783049E-3</v>
      </c>
      <c r="Q25" s="89">
        <f t="shared" si="15"/>
        <v>2.5684930931693106E-3</v>
      </c>
      <c r="R25" s="88">
        <f t="shared" si="43"/>
        <v>936.47271559254762</v>
      </c>
      <c r="S25" s="89">
        <f t="shared" si="46"/>
        <v>7.745266607078527E-3</v>
      </c>
      <c r="T25" s="89">
        <f t="shared" si="5"/>
        <v>2.5684930931693106E-3</v>
      </c>
      <c r="U25" s="89"/>
      <c r="V25" s="248" t="s">
        <v>446</v>
      </c>
      <c r="W25">
        <v>912.77735299999995</v>
      </c>
      <c r="X25" s="89">
        <f t="shared" si="23"/>
        <v>2.1404110122676956E-2</v>
      </c>
      <c r="Y25" s="88">
        <f t="shared" si="44"/>
        <v>895.28710399954241</v>
      </c>
      <c r="Z25" s="89">
        <f t="shared" si="19"/>
        <v>2.1404110122676956E-2</v>
      </c>
      <c r="AA25" s="89">
        <f t="shared" si="6"/>
        <v>9.3062612956258395E-3</v>
      </c>
      <c r="AB25" s="89"/>
      <c r="AC25" s="248" t="s">
        <v>446</v>
      </c>
      <c r="AD25">
        <v>38.090000000000003</v>
      </c>
      <c r="AE25">
        <v>26</v>
      </c>
      <c r="AF25">
        <v>28.24</v>
      </c>
      <c r="AG25" s="89">
        <f t="shared" si="27"/>
        <v>1.7291066282420609E-2</v>
      </c>
      <c r="AH25" s="89">
        <f t="shared" si="7"/>
        <v>-1.6370602577499227E-2</v>
      </c>
      <c r="AJ25" s="248" t="s">
        <v>446</v>
      </c>
      <c r="AK25">
        <v>32.659999999999997</v>
      </c>
      <c r="AL25" s="89">
        <f t="shared" si="28"/>
        <v>1.7445482866043527E-2</v>
      </c>
      <c r="AM25" s="89">
        <f t="shared" si="8"/>
        <v>3.0712530712528885E-3</v>
      </c>
      <c r="AO25" s="248" t="s">
        <v>446</v>
      </c>
      <c r="AP25" s="351">
        <v>27.31</v>
      </c>
      <c r="AQ25" s="89">
        <f t="shared" si="29"/>
        <v>2.7464258841233935E-2</v>
      </c>
      <c r="AR25" s="89">
        <f t="shared" si="9"/>
        <v>1.1481481481481426E-2</v>
      </c>
      <c r="AT25" s="248" t="s">
        <v>446</v>
      </c>
      <c r="AU25" s="95">
        <v>157379800</v>
      </c>
      <c r="AV25" s="89">
        <f>AU25/AU21-1</f>
        <v>4.3191275839532084E-2</v>
      </c>
      <c r="AX25" s="248" t="s">
        <v>446</v>
      </c>
      <c r="AY25" s="95">
        <v>5572600</v>
      </c>
      <c r="AZ25" s="89">
        <f>AY25/AY21-1</f>
        <v>2.554381832235264E-2</v>
      </c>
      <c r="BA25" s="89">
        <f>SUM(AY22:AY25)/SUM(AY18:AY21)-1</f>
        <v>9.7394279858735722E-3</v>
      </c>
      <c r="BC25" s="248" t="s">
        <v>446</v>
      </c>
      <c r="BD25">
        <v>1057</v>
      </c>
      <c r="BE25">
        <v>1057</v>
      </c>
      <c r="BF25" t="s">
        <v>634</v>
      </c>
      <c r="BG25" s="118">
        <f t="shared" ref="BG25:BH35" si="49">BD25/BD21-1</f>
        <v>1.7324350336862304E-2</v>
      </c>
      <c r="BH25" s="118">
        <f t="shared" si="49"/>
        <v>1.7324350336862304E-2</v>
      </c>
      <c r="BI25" s="118"/>
      <c r="BJ25" s="118">
        <f t="shared" si="39"/>
        <v>2.8462998102467552E-3</v>
      </c>
      <c r="BK25" s="350">
        <v>41153</v>
      </c>
      <c r="BL25" s="352">
        <v>13.5</v>
      </c>
      <c r="BM25" s="118">
        <f t="shared" si="32"/>
        <v>3.8461538461538547E-2</v>
      </c>
      <c r="BP25" s="350">
        <v>41153</v>
      </c>
      <c r="BQ25" s="352">
        <f t="shared" si="2"/>
        <v>30.335113793142632</v>
      </c>
      <c r="BR25" s="352">
        <f t="shared" si="3"/>
        <v>35.083031745185494</v>
      </c>
      <c r="BS25" s="352">
        <f t="shared" si="4"/>
        <v>29.336117481966195</v>
      </c>
      <c r="BV25" s="248" t="s">
        <v>446</v>
      </c>
      <c r="BW25">
        <v>1030</v>
      </c>
      <c r="BX25">
        <v>1055</v>
      </c>
      <c r="BY25">
        <v>1055</v>
      </c>
      <c r="BZ25" s="118">
        <f t="shared" si="40"/>
        <v>1.0794896957801781E-2</v>
      </c>
      <c r="CA25" s="118">
        <f t="shared" si="40"/>
        <v>1.5399422521655382E-2</v>
      </c>
      <c r="CB25" s="118">
        <f t="shared" si="40"/>
        <v>1.344860710854956E-2</v>
      </c>
      <c r="CD25" s="248" t="s">
        <v>446</v>
      </c>
      <c r="CE25">
        <v>1060</v>
      </c>
      <c r="CF25" s="118">
        <f t="shared" si="41"/>
        <v>1.9230769230769162E-2</v>
      </c>
      <c r="CG25" s="118">
        <f t="shared" si="37"/>
        <v>5.6925996204932883E-3</v>
      </c>
      <c r="CH25">
        <v>1062</v>
      </c>
      <c r="CI25" s="118">
        <f t="shared" si="20"/>
        <v>2.1153846153846079E-2</v>
      </c>
      <c r="CJ25" s="118">
        <f t="shared" si="38"/>
        <v>4.7303689687796524E-3</v>
      </c>
      <c r="CL25" s="248" t="s">
        <v>446</v>
      </c>
      <c r="CM25">
        <v>1031</v>
      </c>
      <c r="CN25">
        <v>1057</v>
      </c>
      <c r="CO25">
        <v>1055</v>
      </c>
      <c r="CQ25" s="248" t="s">
        <v>701</v>
      </c>
      <c r="CR25">
        <v>1196</v>
      </c>
      <c r="CS25" t="s">
        <v>634</v>
      </c>
      <c r="CT25">
        <v>1143</v>
      </c>
      <c r="CU25" t="s">
        <v>634</v>
      </c>
      <c r="CW25" s="248" t="s">
        <v>702</v>
      </c>
      <c r="CX25">
        <v>760.59530199999995</v>
      </c>
      <c r="CY25">
        <v>761.881575</v>
      </c>
      <c r="CZ25">
        <v>765.82388800000001</v>
      </c>
      <c r="DB25" s="350">
        <v>38961</v>
      </c>
      <c r="DC25">
        <f t="shared" si="10"/>
        <v>1196</v>
      </c>
      <c r="DD25">
        <f t="shared" si="16"/>
        <v>1143</v>
      </c>
      <c r="DE25" s="89">
        <f t="shared" si="33"/>
        <v>5.0966608084358489E-2</v>
      </c>
      <c r="DF25" s="89">
        <f t="shared" si="33"/>
        <v>3.1588447653429608E-2</v>
      </c>
      <c r="DG25" s="89"/>
      <c r="DH25" s="248" t="s">
        <v>660</v>
      </c>
      <c r="DI25">
        <v>17.32</v>
      </c>
      <c r="DJ25">
        <v>14.39</v>
      </c>
      <c r="DK25">
        <v>15.1</v>
      </c>
      <c r="DM25" s="353">
        <v>34486</v>
      </c>
      <c r="DN25">
        <v>15.43</v>
      </c>
      <c r="DO25">
        <v>15.1</v>
      </c>
      <c r="DP25" s="365">
        <f t="shared" si="24"/>
        <v>6.5231572080886036E-3</v>
      </c>
      <c r="DQ25" s="365">
        <f t="shared" si="24"/>
        <v>1.2743125419181656E-2</v>
      </c>
      <c r="DR25" s="365">
        <f t="shared" si="35"/>
        <v>3.7315949369496337E-3</v>
      </c>
      <c r="DS25" s="365">
        <f t="shared" si="35"/>
        <v>6.5438293866222352E-3</v>
      </c>
      <c r="DU25" s="367">
        <v>36951</v>
      </c>
      <c r="DV25" s="368">
        <v>73.599999999999994</v>
      </c>
      <c r="DW25" s="368">
        <v>74.099999999999994</v>
      </c>
      <c r="DX25" s="369">
        <v>73</v>
      </c>
      <c r="DY25" s="367">
        <v>19054</v>
      </c>
      <c r="DZ25" s="368">
        <v>5.9</v>
      </c>
      <c r="EC25" s="350">
        <v>41883</v>
      </c>
      <c r="ED25">
        <f t="shared" si="17"/>
        <v>979.12093399784317</v>
      </c>
      <c r="EE25">
        <f t="shared" si="11"/>
        <v>972.80984142142984</v>
      </c>
      <c r="EF25">
        <f t="shared" si="12"/>
        <v>1037.2081911008977</v>
      </c>
      <c r="EG25">
        <f t="shared" si="13"/>
        <v>1036.0223114548464</v>
      </c>
      <c r="EJ25" s="248" t="s">
        <v>667</v>
      </c>
      <c r="EK25" s="95">
        <v>47417700</v>
      </c>
      <c r="EL25" s="95">
        <v>562151400</v>
      </c>
      <c r="EN25" s="248" t="s">
        <v>667</v>
      </c>
      <c r="EO25" s="95">
        <v>3142300</v>
      </c>
      <c r="EP25" s="95">
        <v>37235200</v>
      </c>
      <c r="ER25" s="352">
        <f t="shared" si="14"/>
        <v>15.090125067625625</v>
      </c>
      <c r="ES25" s="352">
        <f t="shared" si="14"/>
        <v>15.097311146442076</v>
      </c>
      <c r="ET25" s="89">
        <f t="shared" si="48"/>
        <v>-1.2757857495069191E-2</v>
      </c>
      <c r="EU25" s="89">
        <f t="shared" si="48"/>
        <v>1.6750183103011684E-2</v>
      </c>
      <c r="EV25" s="350">
        <v>34578</v>
      </c>
      <c r="EW25" s="352">
        <f t="shared" si="47"/>
        <v>15.348795689412521</v>
      </c>
      <c r="EX25" s="352">
        <f t="shared" si="47"/>
        <v>15.017979771066958</v>
      </c>
      <c r="EY25" s="89">
        <f t="shared" si="36"/>
        <v>-4.9875831396550829E-4</v>
      </c>
      <c r="EZ25" s="89">
        <f t="shared" si="36"/>
        <v>1.0340300860701923E-2</v>
      </c>
    </row>
    <row r="26" spans="1:156" ht="15" customHeight="1">
      <c r="A26" s="350">
        <v>41244</v>
      </c>
      <c r="B26" s="248" t="s">
        <v>451</v>
      </c>
      <c r="C26">
        <v>1039</v>
      </c>
      <c r="D26" s="89">
        <f>C26/C22-1</f>
        <v>1.46484375E-2</v>
      </c>
      <c r="F26" s="248" t="s">
        <v>451</v>
      </c>
      <c r="G26">
        <v>1029</v>
      </c>
      <c r="H26" s="89">
        <f t="shared" si="22"/>
        <v>1.1799410029498469E-2</v>
      </c>
      <c r="I26">
        <v>1045</v>
      </c>
      <c r="J26" s="89">
        <f t="shared" si="22"/>
        <v>1.6536964980544688E-2</v>
      </c>
      <c r="K26">
        <v>1045</v>
      </c>
      <c r="L26" s="89">
        <f t="shared" si="22"/>
        <v>1.554907677356665E-2</v>
      </c>
      <c r="N26" s="248" t="s">
        <v>451</v>
      </c>
      <c r="O26">
        <v>953.507341</v>
      </c>
      <c r="P26" s="89">
        <f t="shared" si="45"/>
        <v>9.4991369367602996E-3</v>
      </c>
      <c r="Q26" s="89">
        <f t="shared" si="15"/>
        <v>-1.7079415428373768E-3</v>
      </c>
      <c r="R26" s="88">
        <f t="shared" si="43"/>
        <v>934.87327493785335</v>
      </c>
      <c r="S26" s="89">
        <f t="shared" si="46"/>
        <v>9.4991369367605216E-3</v>
      </c>
      <c r="T26" s="89">
        <f t="shared" si="5"/>
        <v>-1.7079415428373768E-3</v>
      </c>
      <c r="U26" s="89"/>
      <c r="V26" s="248" t="s">
        <v>451</v>
      </c>
      <c r="W26">
        <v>922.723795</v>
      </c>
      <c r="X26" s="89">
        <f t="shared" si="23"/>
        <v>2.7257240071669298E-2</v>
      </c>
      <c r="Y26" s="88">
        <f t="shared" si="44"/>
        <v>905.04295653467807</v>
      </c>
      <c r="Z26" s="89">
        <f t="shared" si="19"/>
        <v>2.7257240071669298E-2</v>
      </c>
      <c r="AA26" s="89">
        <f t="shared" si="6"/>
        <v>1.0896898315136072E-2</v>
      </c>
      <c r="AB26" s="89"/>
      <c r="AC26" s="248" t="s">
        <v>451</v>
      </c>
      <c r="AD26">
        <v>38.159999999999997</v>
      </c>
      <c r="AE26">
        <v>26.25</v>
      </c>
      <c r="AF26">
        <v>28.43</v>
      </c>
      <c r="AG26" s="89">
        <f t="shared" si="27"/>
        <v>7.7986529599431975E-3</v>
      </c>
      <c r="AH26" s="89">
        <f t="shared" si="7"/>
        <v>6.7280453257789752E-3</v>
      </c>
      <c r="AJ26" s="248" t="s">
        <v>451</v>
      </c>
      <c r="AK26">
        <v>33.270000000000003</v>
      </c>
      <c r="AL26" s="89">
        <f t="shared" si="28"/>
        <v>2.6535020055538538E-2</v>
      </c>
      <c r="AM26" s="89">
        <f t="shared" si="8"/>
        <v>1.8677281077771113E-2</v>
      </c>
      <c r="AO26" s="248" t="s">
        <v>451</v>
      </c>
      <c r="AP26" s="351">
        <v>27.3</v>
      </c>
      <c r="AQ26" s="89">
        <f t="shared" si="29"/>
        <v>2.6701767581797764E-2</v>
      </c>
      <c r="AR26" s="89">
        <f t="shared" si="9"/>
        <v>-3.6616623947260951E-4</v>
      </c>
      <c r="AT26" s="248" t="s">
        <v>451</v>
      </c>
      <c r="AU26" s="95">
        <v>160010000</v>
      </c>
      <c r="AV26" s="89">
        <f>AU26/AU22-1</f>
        <v>4.9330536167835115E-2</v>
      </c>
      <c r="AX26" s="248" t="s">
        <v>451</v>
      </c>
      <c r="AY26" s="95">
        <v>5627300</v>
      </c>
      <c r="AZ26" s="89">
        <f>AY26/AY22-1</f>
        <v>4.0897488069253862E-2</v>
      </c>
      <c r="BA26" s="89">
        <f>SUM(AY23:AY26)/SUM(AY19:AY22)-1</f>
        <v>2.4427901847256628E-2</v>
      </c>
      <c r="BC26" s="248" t="s">
        <v>451</v>
      </c>
      <c r="BD26">
        <v>1060</v>
      </c>
      <c r="BE26">
        <v>1060</v>
      </c>
      <c r="BF26" t="s">
        <v>634</v>
      </c>
      <c r="BG26" s="118">
        <f t="shared" si="49"/>
        <v>1.6299137104506256E-2</v>
      </c>
      <c r="BH26" s="118">
        <f t="shared" si="49"/>
        <v>1.6299137104506256E-2</v>
      </c>
      <c r="BI26" s="118"/>
      <c r="BJ26" s="118">
        <f t="shared" si="39"/>
        <v>2.8382213812676582E-3</v>
      </c>
      <c r="BK26" s="350">
        <v>41244</v>
      </c>
      <c r="BL26" s="352">
        <v>13.5</v>
      </c>
      <c r="BM26" s="118">
        <f t="shared" si="32"/>
        <v>3.8461538461538547E-2</v>
      </c>
      <c r="BP26" s="350">
        <v>41244</v>
      </c>
      <c r="BQ26" s="352">
        <f t="shared" si="2"/>
        <v>30.591458236082946</v>
      </c>
      <c r="BR26" s="352">
        <f t="shared" si="3"/>
        <v>35.799430725096016</v>
      </c>
      <c r="BS26" s="352">
        <f t="shared" si="4"/>
        <v>29.37554730373072</v>
      </c>
      <c r="BV26" s="248" t="s">
        <v>451</v>
      </c>
      <c r="BW26">
        <v>1040</v>
      </c>
      <c r="BX26">
        <v>1057</v>
      </c>
      <c r="BY26">
        <v>1060</v>
      </c>
      <c r="BZ26" s="118">
        <f t="shared" si="40"/>
        <v>1.5625E-2</v>
      </c>
      <c r="CA26" s="118">
        <f t="shared" si="40"/>
        <v>1.6346153846153788E-2</v>
      </c>
      <c r="CB26" s="118">
        <f t="shared" si="40"/>
        <v>1.4354066985645897E-2</v>
      </c>
      <c r="CD26" s="248" t="s">
        <v>451</v>
      </c>
      <c r="CE26">
        <v>1063</v>
      </c>
      <c r="CF26" s="118">
        <f t="shared" si="41"/>
        <v>1.6252390057361454E-2</v>
      </c>
      <c r="CG26" s="118">
        <f t="shared" si="37"/>
        <v>2.8301886792452269E-3</v>
      </c>
      <c r="CH26">
        <v>1067</v>
      </c>
      <c r="CI26" s="118">
        <f t="shared" si="20"/>
        <v>1.9102196752626588E-2</v>
      </c>
      <c r="CJ26" s="118">
        <f t="shared" si="38"/>
        <v>4.7080979284368496E-3</v>
      </c>
      <c r="CL26" s="248" t="s">
        <v>451</v>
      </c>
      <c r="CM26">
        <v>1040</v>
      </c>
      <c r="CN26">
        <v>1060</v>
      </c>
      <c r="CO26">
        <v>1057</v>
      </c>
      <c r="CQ26" s="248" t="s">
        <v>703</v>
      </c>
      <c r="CR26">
        <v>1210</v>
      </c>
      <c r="CS26" t="s">
        <v>634</v>
      </c>
      <c r="CT26">
        <v>1153</v>
      </c>
      <c r="CU26" t="s">
        <v>634</v>
      </c>
      <c r="CW26" s="248" t="s">
        <v>704</v>
      </c>
      <c r="CX26">
        <v>765.47985900000003</v>
      </c>
      <c r="CY26">
        <v>766.77888499999995</v>
      </c>
      <c r="CZ26">
        <v>769.31124699999998</v>
      </c>
      <c r="DB26" s="350">
        <v>39052</v>
      </c>
      <c r="DC26">
        <f t="shared" si="10"/>
        <v>1210</v>
      </c>
      <c r="DD26">
        <f t="shared" si="16"/>
        <v>1153</v>
      </c>
      <c r="DE26" s="89">
        <f t="shared" si="33"/>
        <v>5.3089643167972156E-2</v>
      </c>
      <c r="DF26" s="89">
        <f t="shared" si="33"/>
        <v>3.2229185317815601E-2</v>
      </c>
      <c r="DG26" s="89"/>
      <c r="DH26" s="248" t="s">
        <v>667</v>
      </c>
      <c r="DI26">
        <v>17.22</v>
      </c>
      <c r="DJ26">
        <v>14.4</v>
      </c>
      <c r="DK26">
        <v>15.1</v>
      </c>
      <c r="DM26" s="353">
        <v>34578</v>
      </c>
      <c r="DN26">
        <v>15.09</v>
      </c>
      <c r="DO26">
        <v>15.1</v>
      </c>
      <c r="DP26" s="365">
        <f t="shared" si="24"/>
        <v>-1.3080444735120933E-2</v>
      </c>
      <c r="DQ26" s="365">
        <f t="shared" si="24"/>
        <v>1.6835016835016869E-2</v>
      </c>
      <c r="DR26" s="365">
        <f t="shared" si="35"/>
        <v>-7.1394887548814623E-4</v>
      </c>
      <c r="DS26" s="365">
        <f t="shared" si="35"/>
        <v>1.0413147207464224E-2</v>
      </c>
      <c r="DU26" s="367">
        <v>37043</v>
      </c>
      <c r="DV26" s="368">
        <v>74.099999999999994</v>
      </c>
      <c r="DW26" s="368">
        <v>74.400000000000006</v>
      </c>
      <c r="DX26" s="369">
        <v>73.599999999999994</v>
      </c>
      <c r="DY26" s="367">
        <v>19146</v>
      </c>
      <c r="DZ26" s="368">
        <v>6.1</v>
      </c>
      <c r="EC26" s="350">
        <v>41974</v>
      </c>
      <c r="ED26">
        <f t="shared" si="17"/>
        <v>982.56307487109279</v>
      </c>
      <c r="EE26">
        <f t="shared" si="11"/>
        <v>975.33834637939356</v>
      </c>
      <c r="EF26">
        <f t="shared" si="12"/>
        <v>1042.1582108996167</v>
      </c>
      <c r="EG26">
        <f t="shared" si="13"/>
        <v>1042.6815377577425</v>
      </c>
      <c r="EJ26" s="248" t="s">
        <v>670</v>
      </c>
      <c r="EK26" s="95">
        <v>50283500</v>
      </c>
      <c r="EL26" s="95">
        <v>582578300</v>
      </c>
      <c r="EN26" s="248" t="s">
        <v>670</v>
      </c>
      <c r="EO26" s="95">
        <v>3175100</v>
      </c>
      <c r="EP26" s="95">
        <v>38436200</v>
      </c>
      <c r="ER26" s="352">
        <f t="shared" si="14"/>
        <v>15.836824037038204</v>
      </c>
      <c r="ES26" s="352">
        <f t="shared" si="14"/>
        <v>15.157021245596599</v>
      </c>
      <c r="ET26" s="89">
        <f t="shared" si="48"/>
        <v>3.5511113672473504E-2</v>
      </c>
      <c r="EU26" s="89">
        <f t="shared" si="48"/>
        <v>1.7807000696336228E-2</v>
      </c>
      <c r="EV26" s="350">
        <v>34669</v>
      </c>
      <c r="EW26" s="352">
        <f t="shared" si="47"/>
        <v>15.485389468324621</v>
      </c>
      <c r="EX26" s="352">
        <f t="shared" si="47"/>
        <v>15.083682381249442</v>
      </c>
      <c r="EY26" s="89">
        <f t="shared" si="36"/>
        <v>9.6331929284430018E-3</v>
      </c>
      <c r="EZ26" s="89">
        <f t="shared" si="36"/>
        <v>1.4089064930840722E-2</v>
      </c>
    </row>
    <row r="27" spans="1:156">
      <c r="A27" s="350">
        <v>41334</v>
      </c>
      <c r="B27" s="248" t="s">
        <v>455</v>
      </c>
      <c r="C27">
        <v>1045</v>
      </c>
      <c r="D27" s="89">
        <f t="shared" ref="D27:D50" si="50">C27/C23-1</f>
        <v>1.7526777020447915E-2</v>
      </c>
      <c r="F27" s="248" t="s">
        <v>455</v>
      </c>
      <c r="G27">
        <v>1035</v>
      </c>
      <c r="H27" s="89">
        <f t="shared" si="22"/>
        <v>1.6699410609037235E-2</v>
      </c>
      <c r="I27">
        <v>1050</v>
      </c>
      <c r="J27" s="89">
        <f t="shared" si="22"/>
        <v>1.8428709990300662E-2</v>
      </c>
      <c r="K27">
        <v>1053</v>
      </c>
      <c r="L27" s="89">
        <f t="shared" si="22"/>
        <v>1.837524177949712E-2</v>
      </c>
      <c r="M27" s="197"/>
      <c r="N27" s="248" t="s">
        <v>455</v>
      </c>
      <c r="O27">
        <v>957.585644</v>
      </c>
      <c r="P27" s="89">
        <f t="shared" si="45"/>
        <v>8.5910643908491124E-3</v>
      </c>
      <c r="Q27" s="89">
        <f t="shared" si="15"/>
        <v>4.2771595190056466E-3</v>
      </c>
      <c r="R27" s="88">
        <f t="shared" si="43"/>
        <v>938.8718770648178</v>
      </c>
      <c r="S27" s="89">
        <f t="shared" si="46"/>
        <v>8.5910643908491124E-3</v>
      </c>
      <c r="T27" s="89">
        <f t="shared" si="5"/>
        <v>4.2771595190056466E-3</v>
      </c>
      <c r="U27" s="89"/>
      <c r="V27" s="248" t="s">
        <v>455</v>
      </c>
      <c r="W27">
        <v>934.20045900000002</v>
      </c>
      <c r="X27" s="89">
        <f t="shared" si="23"/>
        <v>3.7383177103081699E-2</v>
      </c>
      <c r="Y27" s="88">
        <f t="shared" si="44"/>
        <v>916.29970961073275</v>
      </c>
      <c r="Z27" s="89">
        <f t="shared" si="19"/>
        <v>3.7383177103081699E-2</v>
      </c>
      <c r="AA27" s="89">
        <f t="shared" si="6"/>
        <v>1.2437810818566764E-2</v>
      </c>
      <c r="AB27" s="89"/>
      <c r="AC27" s="248" t="s">
        <v>455</v>
      </c>
      <c r="AD27">
        <v>37.4</v>
      </c>
      <c r="AE27">
        <v>26.34</v>
      </c>
      <c r="AF27">
        <v>28.37</v>
      </c>
      <c r="AG27" s="89">
        <f t="shared" si="27"/>
        <v>-2.110446711220515E-3</v>
      </c>
      <c r="AH27" s="89">
        <f t="shared" si="7"/>
        <v>-2.110446711220515E-3</v>
      </c>
      <c r="AJ27" s="248" t="s">
        <v>455</v>
      </c>
      <c r="AK27">
        <v>32.770000000000003</v>
      </c>
      <c r="AL27" s="89">
        <f t="shared" si="28"/>
        <v>9.550215650030891E-3</v>
      </c>
      <c r="AM27" s="89">
        <f t="shared" si="8"/>
        <v>-1.5028554253080806E-2</v>
      </c>
      <c r="AO27" s="248" t="s">
        <v>455</v>
      </c>
      <c r="AP27" s="351">
        <v>27.52</v>
      </c>
      <c r="AQ27" s="89">
        <f t="shared" si="29"/>
        <v>2.0771513353115667E-2</v>
      </c>
      <c r="AR27" s="89">
        <f t="shared" si="9"/>
        <v>8.05860805860803E-3</v>
      </c>
      <c r="AT27" s="248" t="s">
        <v>455</v>
      </c>
      <c r="AU27" s="95">
        <v>159906100</v>
      </c>
      <c r="AV27" s="89">
        <f>AU27/AU23-1</f>
        <v>2.2962357828690161E-2</v>
      </c>
      <c r="AX27" s="248" t="s">
        <v>455</v>
      </c>
      <c r="AY27" s="95">
        <v>5636700</v>
      </c>
      <c r="AZ27" s="89">
        <f>AY27/AY23-1</f>
        <v>2.5339251282424424E-2</v>
      </c>
      <c r="BA27" s="89">
        <f>SUM(AY24:AY27)/SUM(AY20:AY23)-1</f>
        <v>2.9551608609849067E-2</v>
      </c>
      <c r="BC27" s="248" t="s">
        <v>455</v>
      </c>
      <c r="BD27">
        <v>1064</v>
      </c>
      <c r="BE27">
        <v>1064</v>
      </c>
      <c r="BF27" t="s">
        <v>634</v>
      </c>
      <c r="BG27" s="118">
        <f t="shared" si="49"/>
        <v>1.6236867239732611E-2</v>
      </c>
      <c r="BH27" s="118">
        <f t="shared" si="49"/>
        <v>1.6236867239732611E-2</v>
      </c>
      <c r="BI27" s="118"/>
      <c r="BJ27" s="118">
        <f t="shared" si="39"/>
        <v>3.7735849056603765E-3</v>
      </c>
      <c r="BK27" s="350">
        <v>41334</v>
      </c>
      <c r="BL27" s="352">
        <v>13.5</v>
      </c>
      <c r="BM27" s="118">
        <f t="shared" si="32"/>
        <v>3.8461538461538547E-2</v>
      </c>
      <c r="BP27" s="350">
        <v>41334</v>
      </c>
      <c r="BQ27" s="352">
        <f t="shared" si="2"/>
        <v>30.396884270750412</v>
      </c>
      <c r="BR27" s="352">
        <f t="shared" si="3"/>
        <v>35.111240660997218</v>
      </c>
      <c r="BS27" s="352">
        <f t="shared" si="4"/>
        <v>29.486156331725457</v>
      </c>
      <c r="BV27" s="248" t="s">
        <v>455</v>
      </c>
      <c r="BW27">
        <v>1043</v>
      </c>
      <c r="BX27">
        <v>1061</v>
      </c>
      <c r="BY27">
        <v>1064</v>
      </c>
      <c r="BZ27" s="118">
        <f t="shared" si="40"/>
        <v>1.85546875E-2</v>
      </c>
      <c r="CA27" s="118">
        <f t="shared" si="40"/>
        <v>1.5311004784688942E-2</v>
      </c>
      <c r="CB27" s="118">
        <f t="shared" si="40"/>
        <v>1.5267175572519109E-2</v>
      </c>
      <c r="CD27" s="248" t="s">
        <v>455</v>
      </c>
      <c r="CE27">
        <v>1067</v>
      </c>
      <c r="CF27" s="118">
        <f t="shared" si="41"/>
        <v>1.7159199237368972E-2</v>
      </c>
      <c r="CG27" s="118">
        <f t="shared" si="37"/>
        <v>3.7629350893697566E-3</v>
      </c>
      <c r="CH27">
        <v>1071</v>
      </c>
      <c r="CI27" s="118">
        <f t="shared" si="20"/>
        <v>1.8060836501901045E-2</v>
      </c>
      <c r="CJ27" s="118">
        <f t="shared" si="38"/>
        <v>3.7488284910964786E-3</v>
      </c>
      <c r="CL27" s="248" t="s">
        <v>455</v>
      </c>
      <c r="CM27">
        <v>1043</v>
      </c>
      <c r="CN27">
        <v>1064</v>
      </c>
      <c r="CO27">
        <v>1061</v>
      </c>
      <c r="CQ27" s="248" t="s">
        <v>300</v>
      </c>
      <c r="CR27">
        <v>1217</v>
      </c>
      <c r="CS27" t="s">
        <v>634</v>
      </c>
      <c r="CT27">
        <v>1160</v>
      </c>
      <c r="CU27" t="s">
        <v>634</v>
      </c>
      <c r="CW27" s="248" t="s">
        <v>705</v>
      </c>
      <c r="CX27">
        <v>768.96882800000003</v>
      </c>
      <c r="CY27">
        <v>769.57734800000003</v>
      </c>
      <c r="CZ27">
        <v>771.40366200000005</v>
      </c>
      <c r="DB27" s="350">
        <v>39142</v>
      </c>
      <c r="DC27">
        <f t="shared" si="10"/>
        <v>1217</v>
      </c>
      <c r="DD27">
        <f t="shared" si="16"/>
        <v>1160</v>
      </c>
      <c r="DE27" s="89">
        <f t="shared" si="33"/>
        <v>4.9137931034482829E-2</v>
      </c>
      <c r="DF27" s="89">
        <f t="shared" si="33"/>
        <v>3.2028469750889688E-2</v>
      </c>
      <c r="DG27" s="89"/>
      <c r="DH27" s="248" t="s">
        <v>670</v>
      </c>
      <c r="DI27">
        <v>17.52</v>
      </c>
      <c r="DJ27">
        <v>14.41</v>
      </c>
      <c r="DK27">
        <v>15.16</v>
      </c>
      <c r="DM27" s="353">
        <v>34669</v>
      </c>
      <c r="DN27">
        <v>15.84</v>
      </c>
      <c r="DO27">
        <v>15.16</v>
      </c>
      <c r="DP27" s="365">
        <f t="shared" si="24"/>
        <v>3.5971223021582732E-2</v>
      </c>
      <c r="DQ27" s="365">
        <f t="shared" si="24"/>
        <v>1.8132975151108122E-2</v>
      </c>
      <c r="DR27" s="365">
        <f t="shared" ref="DR27:DS42" si="51">GEOMEAN(DN24:DN27)/GEOMEAN(DN20:DN23)-1</f>
        <v>9.4698299125952623E-3</v>
      </c>
      <c r="DS27" s="365">
        <f t="shared" si="51"/>
        <v>1.4280446991131512E-2</v>
      </c>
      <c r="DU27" s="367">
        <v>37135</v>
      </c>
      <c r="DV27" s="368">
        <v>74.900000000000006</v>
      </c>
      <c r="DW27" s="368">
        <v>75.7</v>
      </c>
      <c r="DX27" s="369">
        <v>73.900000000000006</v>
      </c>
      <c r="DY27" s="367">
        <v>19238</v>
      </c>
      <c r="DZ27" s="368">
        <v>6.2</v>
      </c>
      <c r="EC27" s="350">
        <v>42064</v>
      </c>
      <c r="ED27">
        <f t="shared" si="17"/>
        <v>986.01673654765784</v>
      </c>
      <c r="EE27">
        <f t="shared" si="11"/>
        <v>976.97071144171605</v>
      </c>
      <c r="EF27">
        <f t="shared" si="12"/>
        <v>1044.5085334726252</v>
      </c>
      <c r="EG27">
        <f t="shared" si="13"/>
        <v>1043.3050123673147</v>
      </c>
      <c r="EJ27" s="248" t="s">
        <v>673</v>
      </c>
      <c r="EK27" s="95">
        <v>49190000</v>
      </c>
      <c r="EL27" s="95">
        <v>594886200</v>
      </c>
      <c r="EN27" s="248" t="s">
        <v>673</v>
      </c>
      <c r="EO27" s="95">
        <v>3099700</v>
      </c>
      <c r="EP27" s="95">
        <v>38977100</v>
      </c>
      <c r="ER27" s="352">
        <f t="shared" si="14"/>
        <v>15.869277672032778</v>
      </c>
      <c r="ES27" s="352">
        <f t="shared" si="14"/>
        <v>15.262454107668349</v>
      </c>
      <c r="ET27" s="89">
        <f t="shared" si="48"/>
        <v>1.8326934741099032E-2</v>
      </c>
      <c r="EU27" s="89">
        <f t="shared" si="48"/>
        <v>1.8936647141905905E-2</v>
      </c>
      <c r="EV27" s="350">
        <v>34759</v>
      </c>
      <c r="EW27" s="352">
        <f t="shared" si="47"/>
        <v>15.555856578769653</v>
      </c>
      <c r="EX27" s="352">
        <f t="shared" si="47"/>
        <v>15.154955806837135</v>
      </c>
      <c r="EY27" s="89">
        <f t="shared" ref="EY27:EZ42" si="52">EW27/EW23-1</f>
        <v>1.1771244656666457E-2</v>
      </c>
      <c r="EZ27" s="89">
        <f t="shared" si="52"/>
        <v>1.6507217764644144E-2</v>
      </c>
    </row>
    <row r="28" spans="1:156" ht="15" customHeight="1">
      <c r="A28" s="360">
        <v>41426</v>
      </c>
      <c r="B28" s="361" t="s">
        <v>458</v>
      </c>
      <c r="C28" s="362">
        <v>1033</v>
      </c>
      <c r="D28" s="363">
        <f t="shared" si="50"/>
        <v>-1.9323671497584183E-3</v>
      </c>
      <c r="F28" s="248" t="s">
        <v>458</v>
      </c>
      <c r="G28">
        <v>1017</v>
      </c>
      <c r="H28" s="363">
        <f t="shared" si="22"/>
        <v>-1.0700389105058328E-2</v>
      </c>
      <c r="I28">
        <v>1037</v>
      </c>
      <c r="J28" s="363">
        <f t="shared" si="22"/>
        <v>9.6525096525090781E-4</v>
      </c>
      <c r="K28">
        <v>1055</v>
      </c>
      <c r="L28" s="363">
        <f t="shared" si="22"/>
        <v>1.0536398467432928E-2</v>
      </c>
      <c r="M28" s="197"/>
      <c r="N28" s="248" t="s">
        <v>458</v>
      </c>
      <c r="O28">
        <v>959.21696599999996</v>
      </c>
      <c r="P28" s="363">
        <f t="shared" si="45"/>
        <v>6.8493156148901058E-3</v>
      </c>
      <c r="Q28" s="363">
        <f t="shared" si="15"/>
        <v>1.7035781710192932E-3</v>
      </c>
      <c r="R28" s="88">
        <f t="shared" si="43"/>
        <v>940.4713186999694</v>
      </c>
      <c r="S28" s="363">
        <f t="shared" si="46"/>
        <v>6.8493156148901058E-3</v>
      </c>
      <c r="T28" s="89">
        <f t="shared" si="5"/>
        <v>1.7035781710192932E-3</v>
      </c>
      <c r="U28" s="89"/>
      <c r="V28" s="248" t="s">
        <v>458</v>
      </c>
      <c r="W28">
        <v>940.32134699999995</v>
      </c>
      <c r="X28" s="363">
        <f t="shared" si="23"/>
        <v>3.9763114233440922E-2</v>
      </c>
      <c r="Y28" s="88">
        <f t="shared" si="44"/>
        <v>922.30331177440894</v>
      </c>
      <c r="Z28" s="363">
        <f t="shared" si="19"/>
        <v>3.97631142334407E-2</v>
      </c>
      <c r="AA28" s="89">
        <f t="shared" si="6"/>
        <v>6.5520070569777822E-3</v>
      </c>
      <c r="AB28" s="89"/>
      <c r="AC28" s="248" t="s">
        <v>458</v>
      </c>
      <c r="AD28">
        <v>37.799999999999997</v>
      </c>
      <c r="AE28">
        <v>26.4</v>
      </c>
      <c r="AF28">
        <v>28.5</v>
      </c>
      <c r="AG28" s="363">
        <f t="shared" si="27"/>
        <v>-7.3145245559038674E-3</v>
      </c>
      <c r="AH28" s="363">
        <f t="shared" si="7"/>
        <v>4.5823052520268526E-3</v>
      </c>
      <c r="AJ28" s="248" t="s">
        <v>458</v>
      </c>
      <c r="AK28">
        <v>33.36</v>
      </c>
      <c r="AL28" s="363">
        <f t="shared" si="28"/>
        <v>2.457002457002444E-2</v>
      </c>
      <c r="AM28" s="363">
        <f t="shared" si="8"/>
        <v>1.8004272200182969E-2</v>
      </c>
      <c r="AO28" s="248" t="s">
        <v>458</v>
      </c>
      <c r="AP28" s="351">
        <v>27.55</v>
      </c>
      <c r="AQ28" s="363">
        <f t="shared" si="29"/>
        <v>2.0370370370370372E-2</v>
      </c>
      <c r="AR28" s="363">
        <f t="shared" si="9"/>
        <v>1.0901162790697416E-3</v>
      </c>
      <c r="AT28" s="248" t="s">
        <v>458</v>
      </c>
      <c r="AU28" s="95">
        <v>163872800</v>
      </c>
      <c r="AV28" s="363">
        <f t="shared" ref="AV28:AV43" si="53">AU28/AU24-1</f>
        <v>2.00914811024544E-2</v>
      </c>
      <c r="AX28" s="248" t="s">
        <v>458</v>
      </c>
      <c r="AY28" s="95">
        <v>5750100</v>
      </c>
      <c r="AZ28" s="363">
        <f t="shared" ref="AZ28:AZ42" si="54">AY28/AY24-1</f>
        <v>2.7482443757482544E-2</v>
      </c>
      <c r="BA28" s="363">
        <f t="shared" ref="BA28:BA42" si="55">SUM(AY25:AY28)/SUM(AY21:AY24)-1</f>
        <v>2.9771538773667894E-2</v>
      </c>
      <c r="BC28" s="248" t="s">
        <v>458</v>
      </c>
      <c r="BD28">
        <v>1071</v>
      </c>
      <c r="BE28">
        <v>1071</v>
      </c>
      <c r="BF28">
        <v>1088</v>
      </c>
      <c r="BG28" s="363">
        <f t="shared" si="49"/>
        <v>1.6129032258064502E-2</v>
      </c>
      <c r="BH28" s="363">
        <f t="shared" si="49"/>
        <v>1.6129032258064502E-2</v>
      </c>
      <c r="BI28" s="363">
        <f>BF28/BF24-1</f>
        <v>1.7773620205799867E-2</v>
      </c>
      <c r="BJ28" s="118">
        <f t="shared" si="39"/>
        <v>6.5789473684210176E-3</v>
      </c>
      <c r="BK28" s="360">
        <v>41426</v>
      </c>
      <c r="BL28" s="364">
        <v>13.75</v>
      </c>
      <c r="BM28" s="363">
        <f t="shared" si="32"/>
        <v>1.8518518518518601E-2</v>
      </c>
      <c r="BP28" s="350">
        <v>41426</v>
      </c>
      <c r="BQ28" s="352">
        <f t="shared" si="2"/>
        <v>30.484239787727024</v>
      </c>
      <c r="BR28" s="352">
        <f t="shared" si="3"/>
        <v>35.682604888371003</v>
      </c>
      <c r="BS28" s="352">
        <f t="shared" si="4"/>
        <v>29.468098461469456</v>
      </c>
      <c r="BV28" s="248" t="s">
        <v>458</v>
      </c>
      <c r="BW28">
        <v>1043</v>
      </c>
      <c r="BX28">
        <v>1070</v>
      </c>
      <c r="BY28">
        <v>1067</v>
      </c>
      <c r="BZ28" s="363">
        <f t="shared" si="40"/>
        <v>1.7560975609756113E-2</v>
      </c>
      <c r="CA28" s="363">
        <f t="shared" si="40"/>
        <v>1.4218009478673022E-2</v>
      </c>
      <c r="CB28" s="363">
        <f t="shared" si="40"/>
        <v>1.4258555133079831E-2</v>
      </c>
      <c r="CD28" s="248" t="s">
        <v>458</v>
      </c>
      <c r="CE28">
        <v>1073</v>
      </c>
      <c r="CF28" s="118">
        <f t="shared" si="41"/>
        <v>1.8026565464895672E-2</v>
      </c>
      <c r="CG28" s="118">
        <f t="shared" si="37"/>
        <v>5.623242736644718E-3</v>
      </c>
      <c r="CH28">
        <v>1075</v>
      </c>
      <c r="CI28" s="118">
        <f t="shared" si="20"/>
        <v>1.7029328287606393E-2</v>
      </c>
      <c r="CJ28" s="118">
        <f t="shared" si="38"/>
        <v>3.7348272642390157E-3</v>
      </c>
      <c r="CL28" s="248" t="s">
        <v>458</v>
      </c>
      <c r="CM28">
        <v>1043</v>
      </c>
      <c r="CN28">
        <v>1071</v>
      </c>
      <c r="CO28">
        <v>1070</v>
      </c>
      <c r="CQ28" s="248" t="s">
        <v>352</v>
      </c>
      <c r="CR28">
        <v>1224</v>
      </c>
      <c r="CS28">
        <v>1232</v>
      </c>
      <c r="CT28">
        <v>1168</v>
      </c>
      <c r="CU28">
        <v>1173</v>
      </c>
      <c r="CW28" s="248" t="s">
        <v>706</v>
      </c>
      <c r="CX28">
        <v>771.06221000000005</v>
      </c>
      <c r="CY28">
        <v>772.375811</v>
      </c>
      <c r="CZ28">
        <v>772.79860499999995</v>
      </c>
      <c r="DB28" s="350">
        <v>39234</v>
      </c>
      <c r="DC28">
        <f t="shared" si="10"/>
        <v>1224</v>
      </c>
      <c r="DD28">
        <f t="shared" si="16"/>
        <v>1168</v>
      </c>
      <c r="DE28" s="89">
        <f t="shared" si="33"/>
        <v>4.8843187660668308E-2</v>
      </c>
      <c r="DF28" s="89">
        <f t="shared" si="33"/>
        <v>3.2714412024756889E-2</v>
      </c>
      <c r="DG28" s="89"/>
      <c r="DH28" s="248" t="s">
        <v>673</v>
      </c>
      <c r="DI28">
        <v>17.73</v>
      </c>
      <c r="DJ28">
        <v>14.53</v>
      </c>
      <c r="DK28">
        <v>15.26</v>
      </c>
      <c r="DM28" s="353">
        <v>34759</v>
      </c>
      <c r="DN28">
        <v>15.87</v>
      </c>
      <c r="DO28">
        <v>15.26</v>
      </c>
      <c r="DP28" s="365">
        <f t="shared" si="24"/>
        <v>1.8613607188703307E-2</v>
      </c>
      <c r="DQ28" s="365">
        <f t="shared" si="24"/>
        <v>1.8691588785046731E-2</v>
      </c>
      <c r="DR28" s="365">
        <f t="shared" si="51"/>
        <v>1.1848920541043473E-2</v>
      </c>
      <c r="DS28" s="365">
        <f t="shared" si="51"/>
        <v>1.6598010205503E-2</v>
      </c>
      <c r="DU28" s="367">
        <v>37226</v>
      </c>
      <c r="DV28" s="368">
        <v>75.400000000000006</v>
      </c>
      <c r="DW28" s="368">
        <v>76.3</v>
      </c>
      <c r="DX28" s="369">
        <v>74.400000000000006</v>
      </c>
      <c r="DY28" s="367">
        <v>19329</v>
      </c>
      <c r="DZ28" s="368">
        <v>6.3</v>
      </c>
      <c r="EC28" s="350">
        <v>42156</v>
      </c>
      <c r="ED28">
        <f t="shared" si="17"/>
        <v>984.61083390842441</v>
      </c>
      <c r="EE28">
        <f t="shared" si="11"/>
        <v>974.70166723596992</v>
      </c>
      <c r="EF28">
        <f t="shared" si="12"/>
        <v>1041.980999700964</v>
      </c>
      <c r="EG28">
        <f t="shared" si="13"/>
        <v>1043.3361647420741</v>
      </c>
      <c r="EJ28" s="248" t="s">
        <v>676</v>
      </c>
      <c r="EK28" s="95">
        <v>49344500</v>
      </c>
      <c r="EL28" s="95">
        <v>597392300</v>
      </c>
      <c r="EN28" s="248" t="s">
        <v>676</v>
      </c>
      <c r="EO28" s="95">
        <v>3124400</v>
      </c>
      <c r="EP28" s="95">
        <v>38795400</v>
      </c>
      <c r="ER28" s="352">
        <f t="shared" si="14"/>
        <v>15.793272308283191</v>
      </c>
      <c r="ES28" s="352">
        <f t="shared" si="14"/>
        <v>15.398534362321307</v>
      </c>
      <c r="ET28" s="89">
        <f t="shared" si="48"/>
        <v>2.3568948166254655E-2</v>
      </c>
      <c r="EU28" s="89">
        <f t="shared" si="48"/>
        <v>1.9868378210402105E-2</v>
      </c>
      <c r="EV28" s="350">
        <v>34851</v>
      </c>
      <c r="EW28" s="352">
        <f t="shared" si="47"/>
        <v>15.646908264561656</v>
      </c>
      <c r="EX28" s="352">
        <f t="shared" si="47"/>
        <v>15.230375401042336</v>
      </c>
      <c r="EY28" s="89">
        <f t="shared" si="52"/>
        <v>1.6109928352471936E-2</v>
      </c>
      <c r="EZ28" s="89">
        <f t="shared" si="52"/>
        <v>1.8281991107801154E-2</v>
      </c>
    </row>
    <row r="29" spans="1:156" ht="15" customHeight="1">
      <c r="A29" s="350">
        <v>41518</v>
      </c>
      <c r="B29" s="248" t="s">
        <v>461</v>
      </c>
      <c r="C29">
        <v>1038</v>
      </c>
      <c r="D29" s="89">
        <f t="shared" si="50"/>
        <v>-4.7938638542665002E-3</v>
      </c>
      <c r="F29" s="248" t="s">
        <v>461</v>
      </c>
      <c r="G29">
        <v>1022</v>
      </c>
      <c r="H29" s="89">
        <f t="shared" si="22"/>
        <v>-1.9193857965451033E-2</v>
      </c>
      <c r="I29">
        <v>1044</v>
      </c>
      <c r="J29" s="89">
        <f t="shared" si="22"/>
        <v>1.9193857965451588E-3</v>
      </c>
      <c r="K29">
        <v>1057</v>
      </c>
      <c r="L29" s="89">
        <f t="shared" si="22"/>
        <v>9.5510983763131829E-3</v>
      </c>
      <c r="M29" s="197"/>
      <c r="N29" s="248" t="s">
        <v>461</v>
      </c>
      <c r="O29">
        <v>968.18923299999994</v>
      </c>
      <c r="P29" s="89">
        <f t="shared" si="45"/>
        <v>1.3663535483604994E-2</v>
      </c>
      <c r="Q29" s="89">
        <f t="shared" si="15"/>
        <v>9.3537409345614275E-3</v>
      </c>
      <c r="R29" s="88">
        <f t="shared" si="43"/>
        <v>949.2682437714742</v>
      </c>
      <c r="S29" s="89">
        <f t="shared" si="46"/>
        <v>1.3663535483604772E-2</v>
      </c>
      <c r="T29" s="89">
        <f t="shared" si="5"/>
        <v>9.3537409345614275E-3</v>
      </c>
      <c r="U29" s="89"/>
      <c r="V29" s="248" t="s">
        <v>461</v>
      </c>
      <c r="W29">
        <v>946.44223399999998</v>
      </c>
      <c r="X29" s="89">
        <f t="shared" si="23"/>
        <v>3.6881810103366997E-2</v>
      </c>
      <c r="Y29" s="88">
        <f t="shared" si="44"/>
        <v>928.30691295724682</v>
      </c>
      <c r="Z29" s="89">
        <f t="shared" si="19"/>
        <v>3.6881810103366997E-2</v>
      </c>
      <c r="AA29" s="89">
        <f t="shared" si="6"/>
        <v>6.5093566359288868E-3</v>
      </c>
      <c r="AB29" s="89"/>
      <c r="AC29" s="248" t="s">
        <v>461</v>
      </c>
      <c r="AD29">
        <v>38.11</v>
      </c>
      <c r="AE29">
        <v>26.45</v>
      </c>
      <c r="AF29">
        <v>28.56</v>
      </c>
      <c r="AG29" s="89">
        <f t="shared" si="27"/>
        <v>1.1331444759206777E-2</v>
      </c>
      <c r="AH29" s="89">
        <f t="shared" si="7"/>
        <v>2.1052631578946102E-3</v>
      </c>
      <c r="AJ29" s="248" t="s">
        <v>461</v>
      </c>
      <c r="AK29">
        <v>33.869999999999997</v>
      </c>
      <c r="AL29" s="89">
        <f t="shared" si="28"/>
        <v>3.7048377219840889E-2</v>
      </c>
      <c r="AM29" s="89">
        <f t="shared" si="8"/>
        <v>1.5287769784172678E-2</v>
      </c>
      <c r="AO29" s="248" t="s">
        <v>461</v>
      </c>
      <c r="AP29" s="351">
        <v>27.99</v>
      </c>
      <c r="AQ29" s="89">
        <f t="shared" si="29"/>
        <v>2.4899304284144996E-2</v>
      </c>
      <c r="AR29" s="89">
        <f t="shared" si="9"/>
        <v>1.5970961887477264E-2</v>
      </c>
      <c r="AT29" s="248" t="s">
        <v>461</v>
      </c>
      <c r="AU29" s="95">
        <v>167360700</v>
      </c>
      <c r="AV29" s="89">
        <f t="shared" si="53"/>
        <v>6.3419193568678978E-2</v>
      </c>
      <c r="AX29" s="248" t="s">
        <v>461</v>
      </c>
      <c r="AY29" s="95">
        <v>5860300</v>
      </c>
      <c r="AZ29" s="89">
        <f t="shared" si="54"/>
        <v>5.1627606503247936E-2</v>
      </c>
      <c r="BA29" s="89">
        <f t="shared" si="55"/>
        <v>3.6330275229357722E-2</v>
      </c>
      <c r="BC29" s="248" t="s">
        <v>461</v>
      </c>
      <c r="BD29">
        <v>1074</v>
      </c>
      <c r="BE29">
        <v>1074</v>
      </c>
      <c r="BF29" t="s">
        <v>634</v>
      </c>
      <c r="BG29" s="118">
        <f t="shared" si="49"/>
        <v>1.6083254493850507E-2</v>
      </c>
      <c r="BH29" s="118">
        <f t="shared" si="49"/>
        <v>1.6083254493850507E-2</v>
      </c>
      <c r="BI29" s="118"/>
      <c r="BJ29" s="118">
        <f t="shared" si="39"/>
        <v>2.8011204481792618E-3</v>
      </c>
      <c r="BK29" s="350">
        <v>41518</v>
      </c>
      <c r="BL29" s="352">
        <v>13.75</v>
      </c>
      <c r="BM29" s="118">
        <f t="shared" si="32"/>
        <v>1.8518518518518601E-2</v>
      </c>
      <c r="BP29" s="350">
        <v>41518</v>
      </c>
      <c r="BQ29" s="352">
        <f t="shared" si="2"/>
        <v>30.265323142671221</v>
      </c>
      <c r="BR29" s="352">
        <f t="shared" si="3"/>
        <v>35.892384273188874</v>
      </c>
      <c r="BS29" s="352">
        <f t="shared" si="4"/>
        <v>29.661288332050681</v>
      </c>
      <c r="BV29" s="248" t="s">
        <v>461</v>
      </c>
      <c r="BW29">
        <v>1050</v>
      </c>
      <c r="BX29">
        <v>1072</v>
      </c>
      <c r="BY29">
        <v>1071</v>
      </c>
      <c r="BZ29" s="118">
        <f t="shared" si="40"/>
        <v>1.9417475728155331E-2</v>
      </c>
      <c r="CA29" s="118">
        <f t="shared" si="40"/>
        <v>1.6113744075829439E-2</v>
      </c>
      <c r="CB29" s="118">
        <f t="shared" si="40"/>
        <v>1.5165876777251119E-2</v>
      </c>
      <c r="CD29" s="248" t="s">
        <v>461</v>
      </c>
      <c r="CE29">
        <v>1077</v>
      </c>
      <c r="CF29" s="118">
        <f t="shared" si="41"/>
        <v>1.6037735849056656E-2</v>
      </c>
      <c r="CG29" s="118">
        <f t="shared" si="37"/>
        <v>3.7278657968313755E-3</v>
      </c>
      <c r="CH29">
        <v>1079</v>
      </c>
      <c r="CI29" s="118">
        <f t="shared" si="20"/>
        <v>1.6007532956685555E-2</v>
      </c>
      <c r="CJ29" s="118">
        <f t="shared" si="38"/>
        <v>3.7209302325580396E-3</v>
      </c>
      <c r="CL29" s="248" t="s">
        <v>461</v>
      </c>
      <c r="CM29">
        <v>1050</v>
      </c>
      <c r="CN29">
        <v>1074</v>
      </c>
      <c r="CO29">
        <v>1072</v>
      </c>
      <c r="CQ29" s="248" t="s">
        <v>356</v>
      </c>
      <c r="CR29">
        <v>1237</v>
      </c>
      <c r="CS29" t="s">
        <v>634</v>
      </c>
      <c r="CT29">
        <v>1178</v>
      </c>
      <c r="CU29" t="s">
        <v>634</v>
      </c>
      <c r="CW29" s="248" t="s">
        <v>707</v>
      </c>
      <c r="CX29">
        <v>774.55117900000005</v>
      </c>
      <c r="CY29">
        <v>775.17427399999997</v>
      </c>
      <c r="CZ29">
        <v>772.79860499999995</v>
      </c>
      <c r="DB29" s="350">
        <v>39326</v>
      </c>
      <c r="DC29">
        <f t="shared" si="10"/>
        <v>1237</v>
      </c>
      <c r="DD29">
        <f t="shared" si="16"/>
        <v>1178</v>
      </c>
      <c r="DE29" s="89">
        <f t="shared" si="33"/>
        <v>3.4280936454849531E-2</v>
      </c>
      <c r="DF29" s="89">
        <f t="shared" si="33"/>
        <v>3.0621172353455739E-2</v>
      </c>
      <c r="DG29" s="89"/>
      <c r="DH29" s="248" t="s">
        <v>676</v>
      </c>
      <c r="DI29">
        <v>17.760000000000002</v>
      </c>
      <c r="DJ29">
        <v>14.69</v>
      </c>
      <c r="DK29">
        <v>15.4</v>
      </c>
      <c r="DM29" s="353">
        <v>34851</v>
      </c>
      <c r="DN29">
        <v>15.79</v>
      </c>
      <c r="DO29">
        <v>15.4</v>
      </c>
      <c r="DP29" s="365">
        <f t="shared" si="24"/>
        <v>2.3331173039533359E-2</v>
      </c>
      <c r="DQ29" s="365">
        <f t="shared" si="24"/>
        <v>1.9867549668874274E-2</v>
      </c>
      <c r="DR29" s="365">
        <f t="shared" si="51"/>
        <v>1.604696026160668E-2</v>
      </c>
      <c r="DS29" s="365">
        <f t="shared" si="51"/>
        <v>1.8381198577696933E-2</v>
      </c>
      <c r="DU29" s="367">
        <v>37316</v>
      </c>
      <c r="DV29" s="368">
        <v>76.2</v>
      </c>
      <c r="DW29" s="368">
        <v>76.900000000000006</v>
      </c>
      <c r="DX29" s="369">
        <v>75.400000000000006</v>
      </c>
      <c r="DY29" s="367">
        <v>19419</v>
      </c>
      <c r="DZ29" s="368">
        <v>6.3</v>
      </c>
      <c r="EC29" s="350">
        <v>42248</v>
      </c>
      <c r="ED29">
        <f t="shared" si="17"/>
        <v>984.03322290559208</v>
      </c>
      <c r="EE29">
        <f t="shared" si="11"/>
        <v>975.05481758711051</v>
      </c>
      <c r="EF29">
        <f t="shared" si="12"/>
        <v>1049.0685789647216</v>
      </c>
      <c r="EG29">
        <f t="shared" si="13"/>
        <v>1049.5448064056161</v>
      </c>
      <c r="EJ29" s="248" t="s">
        <v>679</v>
      </c>
      <c r="EK29" s="95">
        <v>50583900</v>
      </c>
      <c r="EL29" s="95">
        <v>603536500</v>
      </c>
      <c r="EN29" s="248" t="s">
        <v>679</v>
      </c>
      <c r="EO29" s="95">
        <v>3156100</v>
      </c>
      <c r="EP29" s="95">
        <v>38955400</v>
      </c>
      <c r="ER29" s="352">
        <f t="shared" si="14"/>
        <v>16.02734387376826</v>
      </c>
      <c r="ES29" s="352">
        <f t="shared" si="14"/>
        <v>15.493012522012352</v>
      </c>
      <c r="ET29" s="89">
        <f t="shared" si="48"/>
        <v>6.2108087371213649E-2</v>
      </c>
      <c r="EU29" s="89">
        <f t="shared" si="48"/>
        <v>2.6210056329370346E-2</v>
      </c>
      <c r="EV29" s="350">
        <v>34943</v>
      </c>
      <c r="EW29" s="352">
        <f t="shared" si="47"/>
        <v>15.881890516355643</v>
      </c>
      <c r="EX29" s="352">
        <f t="shared" si="47"/>
        <v>15.328244742179409</v>
      </c>
      <c r="EY29" s="89">
        <f t="shared" si="52"/>
        <v>3.4732029647827511E-2</v>
      </c>
      <c r="EZ29" s="89">
        <f t="shared" si="52"/>
        <v>2.0659567787552513E-2</v>
      </c>
    </row>
    <row r="30" spans="1:156" ht="15" customHeight="1">
      <c r="A30" s="350">
        <v>41609</v>
      </c>
      <c r="B30" s="248" t="s">
        <v>464</v>
      </c>
      <c r="C30">
        <v>1035</v>
      </c>
      <c r="D30" s="89">
        <f t="shared" si="50"/>
        <v>-3.8498556304138454E-3</v>
      </c>
      <c r="F30" s="248" t="s">
        <v>464</v>
      </c>
      <c r="G30">
        <v>1017</v>
      </c>
      <c r="H30" s="89">
        <f t="shared" si="22"/>
        <v>-1.1661807580174877E-2</v>
      </c>
      <c r="I30">
        <v>1044</v>
      </c>
      <c r="J30" s="89">
        <f t="shared" si="22"/>
        <v>-9.5693779904304499E-4</v>
      </c>
      <c r="K30">
        <v>1049</v>
      </c>
      <c r="L30" s="89">
        <f t="shared" si="22"/>
        <v>3.82775119617218E-3</v>
      </c>
      <c r="M30" s="197"/>
      <c r="N30" s="248" t="s">
        <v>464</v>
      </c>
      <c r="O30">
        <v>969.00489400000004</v>
      </c>
      <c r="P30" s="89">
        <f t="shared" si="45"/>
        <v>1.6253207850237317E-2</v>
      </c>
      <c r="Q30" s="89">
        <f t="shared" si="15"/>
        <v>8.4246030858325938E-4</v>
      </c>
      <c r="R30" s="88">
        <f t="shared" si="43"/>
        <v>950.06796458905012</v>
      </c>
      <c r="S30" s="89">
        <f t="shared" si="46"/>
        <v>1.6253207850237095E-2</v>
      </c>
      <c r="T30" s="89">
        <f t="shared" si="5"/>
        <v>8.4246030858325938E-4</v>
      </c>
      <c r="U30" s="89"/>
      <c r="V30" s="248" t="s">
        <v>464</v>
      </c>
      <c r="W30">
        <v>949.50267799999995</v>
      </c>
      <c r="X30" s="89">
        <f t="shared" si="23"/>
        <v>2.9021558937905034E-2</v>
      </c>
      <c r="Y30" s="88">
        <f t="shared" si="44"/>
        <v>931.30871403908498</v>
      </c>
      <c r="Z30" s="89">
        <f t="shared" si="19"/>
        <v>2.9021558937905034E-2</v>
      </c>
      <c r="AA30" s="89">
        <f t="shared" si="6"/>
        <v>3.2336299988067196E-3</v>
      </c>
      <c r="AB30" s="89"/>
      <c r="AC30" s="248" t="s">
        <v>464</v>
      </c>
      <c r="AD30">
        <v>38.97</v>
      </c>
      <c r="AE30">
        <v>26.86</v>
      </c>
      <c r="AF30">
        <v>29.08</v>
      </c>
      <c r="AG30" s="89">
        <f t="shared" si="27"/>
        <v>2.2863172704889134E-2</v>
      </c>
      <c r="AH30" s="89">
        <f t="shared" si="7"/>
        <v>1.8207282913165201E-2</v>
      </c>
      <c r="AJ30" s="248" t="s">
        <v>464</v>
      </c>
      <c r="AK30">
        <v>34.4</v>
      </c>
      <c r="AL30" s="89">
        <f t="shared" si="28"/>
        <v>3.3964532611962639E-2</v>
      </c>
      <c r="AM30" s="89">
        <f t="shared" si="8"/>
        <v>1.564806613522296E-2</v>
      </c>
      <c r="AO30" s="248" t="s">
        <v>464</v>
      </c>
      <c r="AP30" s="351">
        <v>28.03</v>
      </c>
      <c r="AQ30" s="89">
        <f t="shared" si="29"/>
        <v>2.6739926739926645E-2</v>
      </c>
      <c r="AR30" s="89">
        <f t="shared" si="9"/>
        <v>1.4290818149340634E-3</v>
      </c>
      <c r="AT30" s="248" t="s">
        <v>464</v>
      </c>
      <c r="AU30" s="95">
        <v>172557200</v>
      </c>
      <c r="AV30" s="89">
        <f t="shared" si="53"/>
        <v>7.8415099056309057E-2</v>
      </c>
      <c r="AX30" s="248" t="s">
        <v>464</v>
      </c>
      <c r="AY30" s="95">
        <v>5934700</v>
      </c>
      <c r="AZ30" s="89">
        <f t="shared" si="54"/>
        <v>5.462655269845218E-2</v>
      </c>
      <c r="BA30" s="89">
        <f t="shared" si="55"/>
        <v>3.9841030609681694E-2</v>
      </c>
      <c r="BC30" s="248" t="s">
        <v>464</v>
      </c>
      <c r="BD30">
        <v>1078</v>
      </c>
      <c r="BE30">
        <v>1078</v>
      </c>
      <c r="BF30" t="s">
        <v>634</v>
      </c>
      <c r="BG30" s="118">
        <f t="shared" si="49"/>
        <v>1.6981132075471805E-2</v>
      </c>
      <c r="BH30" s="118">
        <f t="shared" si="49"/>
        <v>1.6981132075471805E-2</v>
      </c>
      <c r="BI30" s="118"/>
      <c r="BJ30" s="118">
        <f t="shared" si="39"/>
        <v>3.7243947858474069E-3</v>
      </c>
      <c r="BK30" s="350">
        <v>41609</v>
      </c>
      <c r="BL30" s="352">
        <v>13.75</v>
      </c>
      <c r="BM30" s="118">
        <f t="shared" si="32"/>
        <v>1.8518518518518601E-2</v>
      </c>
      <c r="BP30" s="350">
        <v>41609</v>
      </c>
      <c r="BQ30" s="352">
        <f t="shared" si="2"/>
        <v>30.790432726132337</v>
      </c>
      <c r="BR30" s="352">
        <f t="shared" si="3"/>
        <v>36.42334545319644</v>
      </c>
      <c r="BS30" s="352">
        <f t="shared" si="4"/>
        <v>29.678673635264428</v>
      </c>
      <c r="BV30" s="248" t="s">
        <v>464</v>
      </c>
      <c r="BW30">
        <v>1051</v>
      </c>
      <c r="BX30">
        <v>1073</v>
      </c>
      <c r="BY30">
        <v>1073</v>
      </c>
      <c r="BZ30" s="118">
        <f t="shared" si="40"/>
        <v>1.0576923076923039E-2</v>
      </c>
      <c r="CA30" s="118">
        <f t="shared" si="40"/>
        <v>1.5137180700094621E-2</v>
      </c>
      <c r="CB30" s="118">
        <f t="shared" si="40"/>
        <v>1.2264150943396279E-2</v>
      </c>
      <c r="CD30" s="248" t="s">
        <v>464</v>
      </c>
      <c r="CE30">
        <v>1083</v>
      </c>
      <c r="CF30" s="118">
        <f t="shared" si="41"/>
        <v>1.8814675446848561E-2</v>
      </c>
      <c r="CG30" s="118">
        <f t="shared" si="37"/>
        <v>5.5710306406684396E-3</v>
      </c>
      <c r="CH30">
        <v>1085</v>
      </c>
      <c r="CI30" s="118">
        <f t="shared" si="20"/>
        <v>1.6869728209934376E-2</v>
      </c>
      <c r="CJ30" s="118">
        <f t="shared" si="38"/>
        <v>5.5607043558851821E-3</v>
      </c>
      <c r="CL30" s="248" t="s">
        <v>464</v>
      </c>
      <c r="CM30">
        <v>1051</v>
      </c>
      <c r="CN30">
        <v>1078</v>
      </c>
      <c r="CO30">
        <v>1073</v>
      </c>
      <c r="CQ30" s="248" t="s">
        <v>360</v>
      </c>
      <c r="CR30">
        <v>1260</v>
      </c>
      <c r="CS30" t="s">
        <v>634</v>
      </c>
      <c r="CT30">
        <v>1191</v>
      </c>
      <c r="CU30" t="s">
        <v>634</v>
      </c>
      <c r="CW30" s="248" t="s">
        <v>708</v>
      </c>
      <c r="CX30">
        <v>776.64456099999995</v>
      </c>
      <c r="CY30">
        <v>777.27312199999994</v>
      </c>
      <c r="CZ30">
        <v>772.79860499999995</v>
      </c>
      <c r="DB30" s="350">
        <v>39417</v>
      </c>
      <c r="DC30">
        <f t="shared" si="10"/>
        <v>1260</v>
      </c>
      <c r="DD30">
        <f t="shared" si="16"/>
        <v>1191</v>
      </c>
      <c r="DE30" s="89">
        <f t="shared" si="33"/>
        <v>4.1322314049586861E-2</v>
      </c>
      <c r="DF30" s="89">
        <f t="shared" si="33"/>
        <v>3.2957502168256658E-2</v>
      </c>
      <c r="DG30" s="89"/>
      <c r="DH30" s="248" t="s">
        <v>679</v>
      </c>
      <c r="DI30">
        <v>17.91</v>
      </c>
      <c r="DJ30">
        <v>14.77</v>
      </c>
      <c r="DK30">
        <v>15.49</v>
      </c>
      <c r="DM30" s="353">
        <v>34943</v>
      </c>
      <c r="DN30">
        <v>16.03</v>
      </c>
      <c r="DO30">
        <v>15.49</v>
      </c>
      <c r="DP30" s="365">
        <f t="shared" si="24"/>
        <v>6.2292909211398406E-2</v>
      </c>
      <c r="DQ30" s="365">
        <f t="shared" si="24"/>
        <v>2.5827814569536534E-2</v>
      </c>
      <c r="DR30" s="365">
        <f t="shared" si="51"/>
        <v>3.4914359727086008E-2</v>
      </c>
      <c r="DS30" s="365">
        <f t="shared" si="51"/>
        <v>2.0625387460396105E-2</v>
      </c>
      <c r="DU30" s="367">
        <v>37408</v>
      </c>
      <c r="DV30" s="368">
        <v>76.5</v>
      </c>
      <c r="DW30" s="368">
        <v>77.3</v>
      </c>
      <c r="DX30" s="369">
        <v>75.7</v>
      </c>
      <c r="DY30" s="367">
        <v>19511</v>
      </c>
      <c r="DZ30" s="368">
        <v>6.4</v>
      </c>
      <c r="EC30" s="350">
        <v>42339</v>
      </c>
      <c r="ED30">
        <f t="shared" si="17"/>
        <v>994.37562624768202</v>
      </c>
      <c r="EE30">
        <f t="shared" si="11"/>
        <v>988.05926564538265</v>
      </c>
      <c r="EF30">
        <f t="shared" si="12"/>
        <v>1049.435909789365</v>
      </c>
      <c r="EG30">
        <f t="shared" si="13"/>
        <v>1050.7480247556673</v>
      </c>
      <c r="EJ30" s="248" t="s">
        <v>682</v>
      </c>
      <c r="EK30" s="95">
        <v>51151200</v>
      </c>
      <c r="EL30" s="95">
        <v>620947500</v>
      </c>
      <c r="EN30" s="248" t="s">
        <v>682</v>
      </c>
      <c r="EO30" s="95">
        <v>3132500</v>
      </c>
      <c r="EP30" s="95">
        <v>39808100</v>
      </c>
      <c r="ER30" s="352">
        <f t="shared" si="14"/>
        <v>16.329193934557065</v>
      </c>
      <c r="ES30" s="352">
        <f t="shared" si="14"/>
        <v>15.598521406447432</v>
      </c>
      <c r="ET30" s="89">
        <f t="shared" si="48"/>
        <v>3.1090191844484583E-2</v>
      </c>
      <c r="EU30" s="89">
        <f t="shared" si="48"/>
        <v>2.912842528205184E-2</v>
      </c>
      <c r="EV30" s="350">
        <v>35034</v>
      </c>
      <c r="EW30" s="352">
        <f t="shared" si="47"/>
        <v>16.005306608485778</v>
      </c>
      <c r="EX30" s="352">
        <f t="shared" si="47"/>
        <v>15.43902041702867</v>
      </c>
      <c r="EY30" s="89">
        <f t="shared" si="52"/>
        <v>3.3574689304692429E-2</v>
      </c>
      <c r="EZ30" s="89">
        <f t="shared" si="52"/>
        <v>2.355777765653233E-2</v>
      </c>
    </row>
    <row r="31" spans="1:156" ht="15" customHeight="1">
      <c r="A31" s="350">
        <v>41699</v>
      </c>
      <c r="B31" s="248" t="s">
        <v>466</v>
      </c>
      <c r="C31">
        <v>1041</v>
      </c>
      <c r="D31" s="89">
        <f t="shared" si="50"/>
        <v>-3.827751196172291E-3</v>
      </c>
      <c r="F31" s="248" t="s">
        <v>466</v>
      </c>
      <c r="G31">
        <v>1022</v>
      </c>
      <c r="H31" s="89">
        <f t="shared" si="22"/>
        <v>-1.2560386473429941E-2</v>
      </c>
      <c r="I31">
        <v>1051</v>
      </c>
      <c r="J31" s="89">
        <f t="shared" si="22"/>
        <v>9.5238095238103782E-4</v>
      </c>
      <c r="K31">
        <v>1056</v>
      </c>
      <c r="L31" s="89">
        <f t="shared" si="22"/>
        <v>2.8490028490029129E-3</v>
      </c>
      <c r="M31" s="197"/>
      <c r="N31" s="248" t="s">
        <v>466</v>
      </c>
      <c r="O31">
        <v>972.26753699999995</v>
      </c>
      <c r="P31" s="89">
        <f t="shared" si="45"/>
        <v>1.5332198317709933E-2</v>
      </c>
      <c r="Q31" s="89">
        <f t="shared" si="15"/>
        <v>3.3670036345554433E-3</v>
      </c>
      <c r="R31" s="88">
        <f t="shared" si="43"/>
        <v>953.2668468788961</v>
      </c>
      <c r="S31" s="89">
        <f t="shared" si="46"/>
        <v>1.5332198317709933E-2</v>
      </c>
      <c r="T31" s="89">
        <f t="shared" si="5"/>
        <v>3.3670036345554433E-3</v>
      </c>
      <c r="U31" s="89"/>
      <c r="V31" s="248" t="s">
        <v>466</v>
      </c>
      <c r="W31">
        <v>954.093344</v>
      </c>
      <c r="X31" s="89">
        <f t="shared" si="23"/>
        <v>2.1294021864744161E-2</v>
      </c>
      <c r="Y31" s="88">
        <f t="shared" si="44"/>
        <v>935.81141566184226</v>
      </c>
      <c r="Z31" s="89">
        <f t="shared" si="19"/>
        <v>2.1294021864743939E-2</v>
      </c>
      <c r="AA31" s="89">
        <f t="shared" si="6"/>
        <v>4.8348110082949702E-3</v>
      </c>
      <c r="AB31" s="89"/>
      <c r="AC31" s="248" t="s">
        <v>466</v>
      </c>
      <c r="AD31">
        <v>39.54</v>
      </c>
      <c r="AE31">
        <v>27.21</v>
      </c>
      <c r="AF31">
        <v>29.43</v>
      </c>
      <c r="AG31" s="89">
        <f t="shared" si="27"/>
        <v>3.7363412054987721E-2</v>
      </c>
      <c r="AH31" s="89">
        <f t="shared" si="7"/>
        <v>1.2035763411279321E-2</v>
      </c>
      <c r="AJ31" s="248" t="s">
        <v>466</v>
      </c>
      <c r="AK31">
        <v>34.06</v>
      </c>
      <c r="AL31" s="89">
        <f t="shared" si="28"/>
        <v>3.9365273115654631E-2</v>
      </c>
      <c r="AM31" s="89">
        <f t="shared" si="8"/>
        <v>-9.8837209302324869E-3</v>
      </c>
      <c r="AO31" s="248" t="s">
        <v>466</v>
      </c>
      <c r="AP31" s="351">
        <v>28.2</v>
      </c>
      <c r="AQ31" s="89">
        <f t="shared" si="29"/>
        <v>2.4709302325581328E-2</v>
      </c>
      <c r="AR31" s="89">
        <f t="shared" si="9"/>
        <v>6.0649304316802155E-3</v>
      </c>
      <c r="AT31" s="248" t="s">
        <v>466</v>
      </c>
      <c r="AU31" s="95">
        <v>177347700</v>
      </c>
      <c r="AV31" s="89">
        <f t="shared" si="53"/>
        <v>0.10907401281126861</v>
      </c>
      <c r="AX31" s="248" t="s">
        <v>466</v>
      </c>
      <c r="AY31" s="95">
        <v>6025400</v>
      </c>
      <c r="AZ31" s="89">
        <f t="shared" si="54"/>
        <v>6.8958787943300237E-2</v>
      </c>
      <c r="BA31" s="89">
        <f t="shared" si="55"/>
        <v>5.0711232163474174E-2</v>
      </c>
      <c r="BC31" s="248" t="s">
        <v>466</v>
      </c>
      <c r="BD31">
        <v>1079</v>
      </c>
      <c r="BE31">
        <v>1079</v>
      </c>
      <c r="BF31" t="s">
        <v>634</v>
      </c>
      <c r="BG31" s="118">
        <f t="shared" si="49"/>
        <v>1.4097744360902276E-2</v>
      </c>
      <c r="BH31" s="118">
        <f t="shared" si="49"/>
        <v>1.4097744360902276E-2</v>
      </c>
      <c r="BI31" s="118"/>
      <c r="BJ31" s="118">
        <f t="shared" si="39"/>
        <v>9.2764378478671361E-4</v>
      </c>
      <c r="BK31" s="350">
        <v>41699</v>
      </c>
      <c r="BL31" s="352">
        <v>13.75</v>
      </c>
      <c r="BM31" s="118">
        <f t="shared" si="32"/>
        <v>1.8518518518518601E-2</v>
      </c>
      <c r="BP31" s="350">
        <v>41699</v>
      </c>
      <c r="BQ31" s="352">
        <f t="shared" si="2"/>
        <v>31.056451903320106</v>
      </c>
      <c r="BR31" s="352">
        <f t="shared" si="3"/>
        <v>35.942329317943695</v>
      </c>
      <c r="BS31" s="352">
        <f t="shared" si="4"/>
        <v>29.758475829888788</v>
      </c>
      <c r="BV31" s="248" t="s">
        <v>466</v>
      </c>
      <c r="BW31">
        <v>1053</v>
      </c>
      <c r="BX31">
        <v>1073</v>
      </c>
      <c r="BY31">
        <v>1076</v>
      </c>
      <c r="BZ31" s="118">
        <f t="shared" si="40"/>
        <v>9.5877277085330004E-3</v>
      </c>
      <c r="CA31" s="118">
        <f t="shared" si="40"/>
        <v>1.1310084825636224E-2</v>
      </c>
      <c r="CB31" s="118">
        <f t="shared" si="40"/>
        <v>1.1278195488721776E-2</v>
      </c>
      <c r="CD31" s="248" t="s">
        <v>466</v>
      </c>
      <c r="CE31">
        <v>1085</v>
      </c>
      <c r="CF31" s="118">
        <f t="shared" si="41"/>
        <v>1.6869728209934376E-2</v>
      </c>
      <c r="CG31" s="118">
        <f t="shared" si="37"/>
        <v>1.8467220683286989E-3</v>
      </c>
      <c r="CH31">
        <v>1088</v>
      </c>
      <c r="CI31" s="118">
        <f t="shared" si="20"/>
        <v>1.5873015873015817E-2</v>
      </c>
      <c r="CJ31" s="118">
        <f t="shared" si="38"/>
        <v>2.7649769585254003E-3</v>
      </c>
      <c r="CL31" s="248" t="s">
        <v>466</v>
      </c>
      <c r="CM31">
        <v>1053</v>
      </c>
      <c r="CN31">
        <v>1079</v>
      </c>
      <c r="CO31">
        <v>1073</v>
      </c>
      <c r="CQ31" s="248" t="s">
        <v>364</v>
      </c>
      <c r="CR31">
        <v>1273</v>
      </c>
      <c r="CS31" t="s">
        <v>634</v>
      </c>
      <c r="CT31">
        <v>1200</v>
      </c>
      <c r="CU31" t="s">
        <v>634</v>
      </c>
      <c r="CW31" s="248" t="s">
        <v>709</v>
      </c>
      <c r="CX31">
        <v>780.13352999999995</v>
      </c>
      <c r="CY31">
        <v>780.77120000000002</v>
      </c>
      <c r="CZ31" t="s">
        <v>634</v>
      </c>
      <c r="DB31" s="350">
        <v>39508</v>
      </c>
      <c r="DC31">
        <f t="shared" si="10"/>
        <v>1273</v>
      </c>
      <c r="DD31">
        <f t="shared" si="16"/>
        <v>1200</v>
      </c>
      <c r="DE31" s="89">
        <f t="shared" si="33"/>
        <v>4.6014790468364763E-2</v>
      </c>
      <c r="DF31" s="89">
        <f t="shared" si="33"/>
        <v>3.4482758620689724E-2</v>
      </c>
      <c r="DG31" s="89"/>
      <c r="DH31" s="248" t="s">
        <v>682</v>
      </c>
      <c r="DI31">
        <v>18.11</v>
      </c>
      <c r="DJ31">
        <v>14.86</v>
      </c>
      <c r="DK31">
        <v>15.6</v>
      </c>
      <c r="DM31" s="353">
        <v>35034</v>
      </c>
      <c r="DN31">
        <v>16.329999999999998</v>
      </c>
      <c r="DO31">
        <v>15.6</v>
      </c>
      <c r="DP31" s="365">
        <f t="shared" si="24"/>
        <v>3.0934343434343425E-2</v>
      </c>
      <c r="DQ31" s="365">
        <f t="shared" si="24"/>
        <v>2.9023746701847042E-2</v>
      </c>
      <c r="DR31" s="365">
        <f t="shared" si="51"/>
        <v>3.3654124392985096E-2</v>
      </c>
      <c r="DS31" s="365">
        <f t="shared" si="51"/>
        <v>2.3343865097006367E-2</v>
      </c>
      <c r="DU31" s="367">
        <v>37500</v>
      </c>
      <c r="DV31" s="368">
        <v>77.2</v>
      </c>
      <c r="DW31" s="368">
        <v>78.2</v>
      </c>
      <c r="DX31" s="369">
        <v>76.099999999999994</v>
      </c>
      <c r="DY31" s="367">
        <v>19603</v>
      </c>
      <c r="DZ31" s="368">
        <v>6.5</v>
      </c>
      <c r="EC31" s="350">
        <v>42430</v>
      </c>
      <c r="ED31">
        <f t="shared" si="17"/>
        <v>997.22250058245731</v>
      </c>
      <c r="EE31">
        <f t="shared" si="11"/>
        <v>990.01583391158124</v>
      </c>
      <c r="EF31">
        <f t="shared" si="12"/>
        <v>1056.471237825692</v>
      </c>
      <c r="EG31">
        <f t="shared" si="13"/>
        <v>1057.7757178856018</v>
      </c>
      <c r="EJ31" s="248" t="s">
        <v>685</v>
      </c>
      <c r="EK31" s="95">
        <v>50855300</v>
      </c>
      <c r="EL31" s="95">
        <v>631776200</v>
      </c>
      <c r="EN31" s="248" t="s">
        <v>685</v>
      </c>
      <c r="EO31" s="95">
        <v>3101600</v>
      </c>
      <c r="EP31" s="95">
        <v>40191300</v>
      </c>
      <c r="ER31" s="352">
        <f t="shared" si="14"/>
        <v>16.396472788238327</v>
      </c>
      <c r="ES31" s="352">
        <f t="shared" si="14"/>
        <v>15.719227793079597</v>
      </c>
      <c r="ET31" s="89">
        <f t="shared" si="48"/>
        <v>3.3221116115111693E-2</v>
      </c>
      <c r="EU31" s="89">
        <f t="shared" si="48"/>
        <v>2.9927931785344475E-2</v>
      </c>
      <c r="EV31" s="350">
        <v>35125</v>
      </c>
      <c r="EW31" s="352">
        <f t="shared" si="47"/>
        <v>16.135945215987725</v>
      </c>
      <c r="EX31" s="352">
        <f t="shared" si="47"/>
        <v>15.554037332440783</v>
      </c>
      <c r="EY31" s="89">
        <f t="shared" si="52"/>
        <v>3.7290690762073808E-2</v>
      </c>
      <c r="EZ31" s="89">
        <f t="shared" si="52"/>
        <v>2.6333400815567121E-2</v>
      </c>
    </row>
    <row r="32" spans="1:156" ht="15" customHeight="1">
      <c r="A32" s="360">
        <v>41791</v>
      </c>
      <c r="B32" s="361" t="s">
        <v>469</v>
      </c>
      <c r="C32" s="362">
        <v>1043</v>
      </c>
      <c r="D32" s="363">
        <f t="shared" si="50"/>
        <v>9.6805421103580702E-3</v>
      </c>
      <c r="E32" s="89"/>
      <c r="F32" s="248" t="s">
        <v>469</v>
      </c>
      <c r="G32">
        <v>1022</v>
      </c>
      <c r="H32" s="363">
        <f t="shared" si="22"/>
        <v>4.9164208456244918E-3</v>
      </c>
      <c r="I32">
        <v>1052</v>
      </c>
      <c r="J32" s="363">
        <f t="shared" si="22"/>
        <v>1.4464802314368308E-2</v>
      </c>
      <c r="K32">
        <v>1064</v>
      </c>
      <c r="L32" s="363">
        <f t="shared" si="22"/>
        <v>8.5308056872037685E-3</v>
      </c>
      <c r="M32" s="197"/>
      <c r="N32" s="248" t="s">
        <v>469</v>
      </c>
      <c r="O32">
        <v>974.714519</v>
      </c>
      <c r="P32" s="363">
        <f t="shared" si="45"/>
        <v>1.6156462561985219E-2</v>
      </c>
      <c r="Q32" s="363">
        <f t="shared" si="15"/>
        <v>2.5167784656787706E-3</v>
      </c>
      <c r="R32" s="88">
        <f t="shared" si="43"/>
        <v>955.66600835116628</v>
      </c>
      <c r="S32" s="363">
        <f t="shared" si="46"/>
        <v>1.6156462561985219E-2</v>
      </c>
      <c r="T32" s="89">
        <f t="shared" si="5"/>
        <v>2.5167784656785486E-3</v>
      </c>
      <c r="U32" s="89"/>
      <c r="V32" s="248" t="s">
        <v>469</v>
      </c>
      <c r="W32">
        <v>956.38867600000003</v>
      </c>
      <c r="X32" s="363">
        <f t="shared" si="23"/>
        <v>1.7087061833979789E-2</v>
      </c>
      <c r="Y32" s="88">
        <f t="shared" si="44"/>
        <v>938.06276549238248</v>
      </c>
      <c r="Z32" s="363">
        <f t="shared" si="19"/>
        <v>1.7087061833979567E-2</v>
      </c>
      <c r="AA32" s="89">
        <f t="shared" si="6"/>
        <v>2.4057729932136507E-3</v>
      </c>
      <c r="AB32" s="89"/>
      <c r="AC32" s="248" t="s">
        <v>469</v>
      </c>
      <c r="AD32">
        <v>38.54</v>
      </c>
      <c r="AE32">
        <v>27</v>
      </c>
      <c r="AF32">
        <v>29.09</v>
      </c>
      <c r="AG32" s="363">
        <f t="shared" si="27"/>
        <v>2.0701754385964888E-2</v>
      </c>
      <c r="AH32" s="363">
        <f t="shared" si="7"/>
        <v>-1.1552837240910607E-2</v>
      </c>
      <c r="AJ32" s="248" t="s">
        <v>469</v>
      </c>
      <c r="AK32">
        <v>33.76</v>
      </c>
      <c r="AL32" s="363">
        <f t="shared" si="28"/>
        <v>1.1990407673860837E-2</v>
      </c>
      <c r="AM32" s="363">
        <f t="shared" si="8"/>
        <v>-8.8079859072226485E-3</v>
      </c>
      <c r="AO32" s="248" t="s">
        <v>469</v>
      </c>
      <c r="AP32" s="351">
        <v>28.25</v>
      </c>
      <c r="AQ32" s="363">
        <f t="shared" si="29"/>
        <v>2.5408348457350183E-2</v>
      </c>
      <c r="AR32" s="363">
        <f t="shared" si="9"/>
        <v>1.7730496453900457E-3</v>
      </c>
      <c r="AT32" s="248" t="s">
        <v>469</v>
      </c>
      <c r="AU32" s="95">
        <v>176575900</v>
      </c>
      <c r="AV32" s="363">
        <f t="shared" si="53"/>
        <v>7.7518050585576148E-2</v>
      </c>
      <c r="AX32" s="248" t="s">
        <v>469</v>
      </c>
      <c r="AY32" s="95">
        <v>6069300</v>
      </c>
      <c r="AZ32" s="363">
        <f t="shared" si="54"/>
        <v>5.5512078050816482E-2</v>
      </c>
      <c r="BA32" s="363">
        <f t="shared" si="55"/>
        <v>5.7688816870105075E-2</v>
      </c>
      <c r="BC32" s="248" t="s">
        <v>469</v>
      </c>
      <c r="BD32">
        <v>1083</v>
      </c>
      <c r="BE32">
        <v>1083</v>
      </c>
      <c r="BF32">
        <v>1101</v>
      </c>
      <c r="BG32" s="363">
        <f t="shared" si="49"/>
        <v>1.1204481792717047E-2</v>
      </c>
      <c r="BH32" s="363">
        <f t="shared" si="49"/>
        <v>1.1204481792717047E-2</v>
      </c>
      <c r="BI32" s="363">
        <f>BF32/BF28-1</f>
        <v>1.1948529411764719E-2</v>
      </c>
      <c r="BJ32" s="118">
        <f t="shared" si="39"/>
        <v>3.707136237256714E-3</v>
      </c>
      <c r="BK32" s="360">
        <v>41791</v>
      </c>
      <c r="BL32" s="364">
        <v>14.25</v>
      </c>
      <c r="BM32" s="363">
        <f t="shared" si="32"/>
        <v>3.6363636363636376E-2</v>
      </c>
      <c r="BP32" s="350">
        <v>41791</v>
      </c>
      <c r="BQ32" s="352">
        <f t="shared" si="2"/>
        <v>30.620596511295016</v>
      </c>
      <c r="BR32" s="352">
        <f t="shared" si="3"/>
        <v>35.536312761131647</v>
      </c>
      <c r="BS32" s="352">
        <f t="shared" si="4"/>
        <v>29.736399155864017</v>
      </c>
      <c r="BV32" s="248" t="s">
        <v>469</v>
      </c>
      <c r="BW32">
        <v>1054</v>
      </c>
      <c r="BX32">
        <v>1077</v>
      </c>
      <c r="BY32">
        <v>1078</v>
      </c>
      <c r="BZ32" s="363">
        <f t="shared" ref="BZ32:CB47" si="56">BW32/BW28-1</f>
        <v>1.0546500479386323E-2</v>
      </c>
      <c r="CA32" s="363">
        <f t="shared" si="56"/>
        <v>6.5420560747664336E-3</v>
      </c>
      <c r="CB32" s="363">
        <f t="shared" si="56"/>
        <v>1.0309278350515427E-2</v>
      </c>
      <c r="CC32" s="255"/>
      <c r="CD32" s="248" t="s">
        <v>469</v>
      </c>
      <c r="CE32">
        <v>1089</v>
      </c>
      <c r="CF32" s="118">
        <f t="shared" si="41"/>
        <v>1.491146318732528E-2</v>
      </c>
      <c r="CG32" s="118">
        <f t="shared" si="37"/>
        <v>3.6866359447005337E-3</v>
      </c>
      <c r="CH32">
        <v>1094</v>
      </c>
      <c r="CI32" s="118">
        <f t="shared" si="20"/>
        <v>1.7674418604651132E-2</v>
      </c>
      <c r="CJ32" s="118">
        <f t="shared" si="38"/>
        <v>5.5147058823530326E-3</v>
      </c>
      <c r="CK32" s="255"/>
      <c r="CL32" s="248" t="s">
        <v>469</v>
      </c>
      <c r="CM32">
        <v>1054</v>
      </c>
      <c r="CN32">
        <v>1083</v>
      </c>
      <c r="CO32">
        <v>1077</v>
      </c>
      <c r="CQ32" s="248" t="s">
        <v>368</v>
      </c>
      <c r="CR32">
        <v>1287</v>
      </c>
      <c r="CS32">
        <v>1299</v>
      </c>
      <c r="CT32">
        <v>1210</v>
      </c>
      <c r="CU32">
        <v>1216</v>
      </c>
      <c r="CW32" s="248" t="s">
        <v>710</v>
      </c>
      <c r="CX32">
        <v>782.92470500000002</v>
      </c>
      <c r="CY32">
        <v>783.56966399999999</v>
      </c>
      <c r="CZ32" t="s">
        <v>634</v>
      </c>
      <c r="DB32" s="350">
        <v>39600</v>
      </c>
      <c r="DC32">
        <f t="shared" si="10"/>
        <v>1287</v>
      </c>
      <c r="DD32">
        <f t="shared" si="16"/>
        <v>1210</v>
      </c>
      <c r="DE32" s="89">
        <f t="shared" si="33"/>
        <v>5.1470588235294157E-2</v>
      </c>
      <c r="DF32" s="89">
        <f t="shared" si="33"/>
        <v>3.5958904109589129E-2</v>
      </c>
      <c r="DG32" s="89"/>
      <c r="DH32" s="248" t="s">
        <v>685</v>
      </c>
      <c r="DI32">
        <v>18.12</v>
      </c>
      <c r="DJ32">
        <v>15.03</v>
      </c>
      <c r="DK32">
        <v>15.72</v>
      </c>
      <c r="DM32" s="353">
        <v>35125</v>
      </c>
      <c r="DN32">
        <v>16.399999999999999</v>
      </c>
      <c r="DO32">
        <v>15.72</v>
      </c>
      <c r="DP32" s="365">
        <f t="shared" si="24"/>
        <v>3.3396345305608088E-2</v>
      </c>
      <c r="DQ32" s="365">
        <f t="shared" si="24"/>
        <v>3.0144167758846763E-2</v>
      </c>
      <c r="DR32" s="365">
        <f t="shared" si="51"/>
        <v>3.7384139541251526E-2</v>
      </c>
      <c r="DS32" s="365">
        <f t="shared" si="51"/>
        <v>2.6208038586959415E-2</v>
      </c>
      <c r="DU32" s="367">
        <v>37591</v>
      </c>
      <c r="DV32" s="368">
        <v>77.7</v>
      </c>
      <c r="DW32" s="368">
        <v>78.8</v>
      </c>
      <c r="DX32" s="369">
        <v>76.5</v>
      </c>
      <c r="DY32" s="367">
        <v>19694</v>
      </c>
      <c r="DZ32" s="368">
        <v>6.4</v>
      </c>
      <c r="EC32" s="350">
        <v>42522</v>
      </c>
      <c r="ED32">
        <f t="shared" si="17"/>
        <v>994.8788381733375</v>
      </c>
      <c r="EE32">
        <f t="shared" si="11"/>
        <v>986.80497925218322</v>
      </c>
      <c r="EF32">
        <f t="shared" si="12"/>
        <v>1055.9645009863873</v>
      </c>
      <c r="EG32">
        <f t="shared" si="13"/>
        <v>1056.4130393285084</v>
      </c>
      <c r="EJ32" s="248" t="s">
        <v>688</v>
      </c>
      <c r="EK32" s="95">
        <v>52963200</v>
      </c>
      <c r="EL32" s="95">
        <v>638692100</v>
      </c>
      <c r="EN32" s="248" t="s">
        <v>688</v>
      </c>
      <c r="EO32" s="95">
        <v>3218700</v>
      </c>
      <c r="EP32" s="95">
        <v>40065700</v>
      </c>
      <c r="ER32" s="352">
        <f t="shared" si="14"/>
        <v>16.454842016963369</v>
      </c>
      <c r="ES32" s="352">
        <f t="shared" si="14"/>
        <v>15.941119211694792</v>
      </c>
      <c r="ET32" s="89">
        <f t="shared" si="48"/>
        <v>4.1889337166256535E-2</v>
      </c>
      <c r="EU32" s="89">
        <f t="shared" si="48"/>
        <v>3.5236135894928911E-2</v>
      </c>
      <c r="EV32" s="350">
        <v>35217</v>
      </c>
      <c r="EW32" s="352">
        <f t="shared" si="47"/>
        <v>16.30226268746679</v>
      </c>
      <c r="EX32" s="352">
        <f t="shared" si="47"/>
        <v>15.689501039174194</v>
      </c>
      <c r="EY32" s="89">
        <f t="shared" si="52"/>
        <v>4.1883956358933272E-2</v>
      </c>
      <c r="EZ32" s="89">
        <f t="shared" si="52"/>
        <v>3.014539208931355E-2</v>
      </c>
    </row>
    <row r="33" spans="1:156" ht="15" customHeight="1">
      <c r="A33" s="350">
        <v>41883</v>
      </c>
      <c r="B33" s="248" t="s">
        <v>470</v>
      </c>
      <c r="C33">
        <v>1047</v>
      </c>
      <c r="D33" s="89">
        <f t="shared" si="50"/>
        <v>8.6705202312138407E-3</v>
      </c>
      <c r="F33" s="248" t="s">
        <v>470</v>
      </c>
      <c r="G33">
        <v>1022</v>
      </c>
      <c r="H33" s="89">
        <f t="shared" si="22"/>
        <v>0</v>
      </c>
      <c r="I33">
        <v>1059</v>
      </c>
      <c r="J33" s="89">
        <f t="shared" si="22"/>
        <v>1.4367816091954033E-2</v>
      </c>
      <c r="K33">
        <v>1067</v>
      </c>
      <c r="L33" s="89">
        <f t="shared" si="22"/>
        <v>9.4607379375590828E-3</v>
      </c>
      <c r="M33" s="197"/>
      <c r="N33" s="248" t="s">
        <v>470</v>
      </c>
      <c r="O33">
        <v>977.97716200000002</v>
      </c>
      <c r="P33" s="89">
        <f t="shared" si="45"/>
        <v>1.0109520604429267E-2</v>
      </c>
      <c r="Q33" s="89">
        <f t="shared" si="15"/>
        <v>3.3472806000134359E-3</v>
      </c>
      <c r="R33" s="88">
        <f t="shared" si="43"/>
        <v>958.86489064101227</v>
      </c>
      <c r="S33" s="89">
        <f t="shared" si="46"/>
        <v>1.0109520604429267E-2</v>
      </c>
      <c r="T33" s="89">
        <f t="shared" si="5"/>
        <v>3.3472806000132138E-3</v>
      </c>
      <c r="U33" s="89"/>
      <c r="V33" s="248" t="s">
        <v>470</v>
      </c>
      <c r="W33">
        <v>964.80489699999998</v>
      </c>
      <c r="X33" s="89">
        <f t="shared" si="23"/>
        <v>1.9401778936251501E-2</v>
      </c>
      <c r="Y33" s="88">
        <f t="shared" si="44"/>
        <v>946.31771846743743</v>
      </c>
      <c r="Z33" s="89">
        <f t="shared" si="19"/>
        <v>1.9401778936251501E-2</v>
      </c>
      <c r="AA33" s="89">
        <f t="shared" si="6"/>
        <v>8.800000680894815E-3</v>
      </c>
      <c r="AB33" s="89"/>
      <c r="AC33" s="248" t="s">
        <v>470</v>
      </c>
      <c r="AD33">
        <v>39.479999999999997</v>
      </c>
      <c r="AE33">
        <v>27.14</v>
      </c>
      <c r="AF33">
        <v>29.35</v>
      </c>
      <c r="AG33" s="89">
        <f t="shared" si="27"/>
        <v>2.7661064425770432E-2</v>
      </c>
      <c r="AH33" s="89">
        <f t="shared" si="7"/>
        <v>8.937779305603355E-3</v>
      </c>
      <c r="AJ33" s="248" t="s">
        <v>470</v>
      </c>
      <c r="AK33">
        <v>34.18</v>
      </c>
      <c r="AL33" s="89">
        <f t="shared" si="28"/>
        <v>9.1526424564511988E-3</v>
      </c>
      <c r="AM33" s="89">
        <f t="shared" si="8"/>
        <v>1.2440758293838838E-2</v>
      </c>
      <c r="AO33" s="248" t="s">
        <v>470</v>
      </c>
      <c r="AP33" s="351">
        <v>28.66</v>
      </c>
      <c r="AQ33" s="89">
        <f t="shared" si="29"/>
        <v>2.3937120400143064E-2</v>
      </c>
      <c r="AR33" s="89">
        <f t="shared" si="9"/>
        <v>1.4513274336283244E-2</v>
      </c>
      <c r="AT33" s="248" t="s">
        <v>470</v>
      </c>
      <c r="AU33" s="95">
        <v>178842900</v>
      </c>
      <c r="AV33" s="89">
        <f t="shared" si="53"/>
        <v>6.8607504629222937E-2</v>
      </c>
      <c r="AX33" s="248" t="s">
        <v>470</v>
      </c>
      <c r="AY33" s="95">
        <v>6093700</v>
      </c>
      <c r="AZ33" s="89">
        <f t="shared" si="54"/>
        <v>3.9827312594918451E-2</v>
      </c>
      <c r="BA33" s="89">
        <f t="shared" si="55"/>
        <v>5.4589409995453364E-2</v>
      </c>
      <c r="BC33" s="248" t="s">
        <v>470</v>
      </c>
      <c r="BD33">
        <v>1086</v>
      </c>
      <c r="BE33">
        <v>1086</v>
      </c>
      <c r="BF33" t="s">
        <v>634</v>
      </c>
      <c r="BG33" s="118">
        <f t="shared" si="49"/>
        <v>1.1173184357541999E-2</v>
      </c>
      <c r="BH33" s="118">
        <f t="shared" si="49"/>
        <v>1.1173184357541999E-2</v>
      </c>
      <c r="BI33" s="118"/>
      <c r="BJ33" s="118">
        <f t="shared" si="39"/>
        <v>2.7700831024930483E-3</v>
      </c>
      <c r="BK33" s="350">
        <v>41883</v>
      </c>
      <c r="BL33" s="352">
        <v>14.25</v>
      </c>
      <c r="BM33" s="118">
        <f t="shared" si="32"/>
        <v>3.6363636363636376E-2</v>
      </c>
      <c r="BP33" s="350">
        <v>41883</v>
      </c>
      <c r="BQ33" s="352">
        <f t="shared" si="2"/>
        <v>30.791209825818001</v>
      </c>
      <c r="BR33" s="352">
        <f t="shared" si="3"/>
        <v>35.858383367852099</v>
      </c>
      <c r="BS33" s="352">
        <f t="shared" si="4"/>
        <v>30.067327891241696</v>
      </c>
      <c r="BV33" s="248" t="s">
        <v>470</v>
      </c>
      <c r="BW33">
        <v>1058</v>
      </c>
      <c r="BX33">
        <v>1079</v>
      </c>
      <c r="BY33">
        <v>1082</v>
      </c>
      <c r="BZ33" s="118">
        <f t="shared" si="56"/>
        <v>7.6190476190476364E-3</v>
      </c>
      <c r="CA33" s="118">
        <f t="shared" si="56"/>
        <v>6.5298507462685507E-3</v>
      </c>
      <c r="CB33" s="118">
        <f t="shared" si="56"/>
        <v>1.0270774976657293E-2</v>
      </c>
      <c r="CC33" s="255"/>
      <c r="CD33" s="248" t="s">
        <v>470</v>
      </c>
      <c r="CE33">
        <v>1093</v>
      </c>
      <c r="CF33" s="118">
        <f t="shared" si="41"/>
        <v>1.485608170844932E-2</v>
      </c>
      <c r="CG33" s="118">
        <f t="shared" si="37"/>
        <v>3.6730945821854544E-3</v>
      </c>
      <c r="CH33">
        <v>1099</v>
      </c>
      <c r="CI33" s="118">
        <f t="shared" si="20"/>
        <v>1.853568118628357E-2</v>
      </c>
      <c r="CJ33" s="118">
        <f t="shared" si="38"/>
        <v>4.5703839122486212E-3</v>
      </c>
      <c r="CK33" s="255"/>
      <c r="CL33" s="248" t="s">
        <v>470</v>
      </c>
      <c r="CM33">
        <v>1059</v>
      </c>
      <c r="CN33">
        <v>1086</v>
      </c>
      <c r="CO33">
        <v>1079</v>
      </c>
      <c r="CQ33" s="248" t="s">
        <v>372</v>
      </c>
      <c r="CR33">
        <v>1307</v>
      </c>
      <c r="CS33" t="s">
        <v>634</v>
      </c>
      <c r="CT33">
        <v>1225</v>
      </c>
      <c r="CU33" t="s">
        <v>634</v>
      </c>
      <c r="CW33" s="248" t="s">
        <v>711</v>
      </c>
      <c r="CX33">
        <v>785.71588099999997</v>
      </c>
      <c r="CY33">
        <v>786.36812699999996</v>
      </c>
      <c r="CZ33" t="s">
        <v>634</v>
      </c>
      <c r="DB33" s="350">
        <v>39692</v>
      </c>
      <c r="DC33">
        <f t="shared" si="10"/>
        <v>1307</v>
      </c>
      <c r="DD33">
        <f t="shared" si="16"/>
        <v>1225</v>
      </c>
      <c r="DE33" s="89">
        <f t="shared" si="33"/>
        <v>5.6588520614389681E-2</v>
      </c>
      <c r="DF33" s="89">
        <f t="shared" si="33"/>
        <v>3.9898132427843791E-2</v>
      </c>
      <c r="DG33" s="89"/>
      <c r="DH33" s="248" t="s">
        <v>688</v>
      </c>
      <c r="DI33">
        <v>18.399999999999999</v>
      </c>
      <c r="DJ33">
        <v>15.24</v>
      </c>
      <c r="DK33">
        <v>15.94</v>
      </c>
      <c r="DM33" s="353">
        <v>35217</v>
      </c>
      <c r="DN33">
        <v>16.45</v>
      </c>
      <c r="DO33">
        <v>15.94</v>
      </c>
      <c r="DP33" s="365">
        <f t="shared" si="24"/>
        <v>4.1798606713109532E-2</v>
      </c>
      <c r="DQ33" s="365">
        <f t="shared" si="24"/>
        <v>3.5064935064935021E-2</v>
      </c>
      <c r="DR33" s="365">
        <f t="shared" si="51"/>
        <v>4.2033055460152235E-2</v>
      </c>
      <c r="DS33" s="365">
        <f t="shared" si="51"/>
        <v>3.0009826445205112E-2</v>
      </c>
      <c r="DU33" s="367">
        <v>37681</v>
      </c>
      <c r="DV33" s="368">
        <v>79.099999999999994</v>
      </c>
      <c r="DW33" s="368">
        <v>79.3</v>
      </c>
      <c r="DX33" s="369">
        <v>78.8</v>
      </c>
      <c r="DY33" s="367">
        <v>19784</v>
      </c>
      <c r="DZ33" s="368">
        <v>6.5</v>
      </c>
      <c r="EC33" s="350">
        <v>42614</v>
      </c>
      <c r="ED33">
        <f t="shared" si="17"/>
        <v>997.8461545959351</v>
      </c>
      <c r="EE33">
        <f t="shared" si="11"/>
        <v>991.58726294524365</v>
      </c>
      <c r="EF33">
        <f t="shared" si="12"/>
        <v>1059.1618340846665</v>
      </c>
      <c r="EG33">
        <f t="shared" si="13"/>
        <v>1057.9089749165782</v>
      </c>
      <c r="EJ33" s="248" t="s">
        <v>690</v>
      </c>
      <c r="EK33" s="95">
        <v>54586900</v>
      </c>
      <c r="EL33" s="95">
        <v>646920900</v>
      </c>
      <c r="EN33" s="248" t="s">
        <v>690</v>
      </c>
      <c r="EO33" s="95">
        <v>3294900</v>
      </c>
      <c r="EP33" s="95">
        <v>40356800</v>
      </c>
      <c r="ER33" s="352">
        <f t="shared" si="14"/>
        <v>16.567088530759658</v>
      </c>
      <c r="ES33" s="352">
        <f t="shared" si="14"/>
        <v>16.030034591444316</v>
      </c>
      <c r="ET33" s="89">
        <f t="shared" si="48"/>
        <v>3.3676488209302802E-2</v>
      </c>
      <c r="EU33" s="89">
        <f t="shared" si="48"/>
        <v>3.4662211023773981E-2</v>
      </c>
      <c r="EV33" s="350">
        <v>35309</v>
      </c>
      <c r="EW33" s="352">
        <f t="shared" si="47"/>
        <v>16.438777191179586</v>
      </c>
      <c r="EX33" s="352">
        <f t="shared" si="47"/>
        <v>15.822881414569956</v>
      </c>
      <c r="EY33" s="89">
        <f t="shared" si="52"/>
        <v>3.5064255999652127E-2</v>
      </c>
      <c r="EZ33" s="89">
        <f t="shared" si="52"/>
        <v>3.2269622563465106E-2</v>
      </c>
    </row>
    <row r="34" spans="1:156" ht="15" customHeight="1">
      <c r="A34" s="350">
        <v>41974</v>
      </c>
      <c r="B34" s="248" t="s">
        <v>472</v>
      </c>
      <c r="C34">
        <v>1046</v>
      </c>
      <c r="D34" s="89">
        <f t="shared" si="50"/>
        <v>1.0628019323671412E-2</v>
      </c>
      <c r="F34" s="248" t="s">
        <v>472</v>
      </c>
      <c r="G34">
        <v>1023</v>
      </c>
      <c r="H34" s="89">
        <f t="shared" si="22"/>
        <v>5.8997050147493457E-3</v>
      </c>
      <c r="I34">
        <v>1058</v>
      </c>
      <c r="J34" s="89">
        <f t="shared" si="22"/>
        <v>1.3409961685823646E-2</v>
      </c>
      <c r="K34">
        <v>1062</v>
      </c>
      <c r="L34" s="89">
        <f t="shared" si="22"/>
        <v>1.2392755004766443E-2</v>
      </c>
      <c r="M34" s="197"/>
      <c r="N34" s="248" t="s">
        <v>472</v>
      </c>
      <c r="O34">
        <v>976.34583999999995</v>
      </c>
      <c r="P34" s="89">
        <f t="shared" si="45"/>
        <v>7.5757574037598197E-3</v>
      </c>
      <c r="Q34" s="89">
        <f t="shared" si="15"/>
        <v>-1.6680573569468615E-3</v>
      </c>
      <c r="R34" s="88">
        <f t="shared" si="43"/>
        <v>957.26544900586055</v>
      </c>
      <c r="S34" s="89">
        <f t="shared" si="46"/>
        <v>7.5757574037598197E-3</v>
      </c>
      <c r="T34" s="89">
        <f t="shared" si="5"/>
        <v>-1.6680573569467505E-3</v>
      </c>
      <c r="U34" s="89"/>
      <c r="V34" s="248" t="s">
        <v>472</v>
      </c>
      <c r="W34">
        <v>969.39556200000004</v>
      </c>
      <c r="X34" s="89">
        <f t="shared" si="23"/>
        <v>2.0950845596245937E-2</v>
      </c>
      <c r="Y34" s="88">
        <f t="shared" si="44"/>
        <v>950.82041910935629</v>
      </c>
      <c r="Z34" s="89">
        <f t="shared" si="19"/>
        <v>2.0950845596245937E-2</v>
      </c>
      <c r="AA34" s="89">
        <f t="shared" si="6"/>
        <v>4.7581277979356074E-3</v>
      </c>
      <c r="AB34" s="89"/>
      <c r="AC34" s="248" t="s">
        <v>472</v>
      </c>
      <c r="AD34">
        <v>39.71</v>
      </c>
      <c r="AE34">
        <v>27.62</v>
      </c>
      <c r="AF34">
        <v>29.82</v>
      </c>
      <c r="AG34" s="89">
        <f t="shared" si="27"/>
        <v>2.5447042640990514E-2</v>
      </c>
      <c r="AH34" s="89">
        <f t="shared" si="7"/>
        <v>1.6013628620102249E-2</v>
      </c>
      <c r="AJ34" s="248" t="s">
        <v>472</v>
      </c>
      <c r="AK34">
        <v>34.89</v>
      </c>
      <c r="AL34" s="89">
        <f t="shared" si="28"/>
        <v>1.4244186046511675E-2</v>
      </c>
      <c r="AM34" s="89">
        <f t="shared" si="8"/>
        <v>2.0772381509654769E-2</v>
      </c>
      <c r="AO34" s="248" t="s">
        <v>472</v>
      </c>
      <c r="AP34" s="351">
        <v>28.79</v>
      </c>
      <c r="AQ34" s="89">
        <f t="shared" si="29"/>
        <v>2.7113806635747251E-2</v>
      </c>
      <c r="AR34" s="89">
        <f t="shared" si="9"/>
        <v>4.5359385903698257E-3</v>
      </c>
      <c r="AT34" s="248" t="s">
        <v>472</v>
      </c>
      <c r="AU34" s="95">
        <v>182170300</v>
      </c>
      <c r="AV34" s="89">
        <f t="shared" si="53"/>
        <v>5.570964294738201E-2</v>
      </c>
      <c r="AX34" s="248" t="s">
        <v>472</v>
      </c>
      <c r="AY34" s="95">
        <v>6108700</v>
      </c>
      <c r="AZ34" s="89">
        <f t="shared" si="54"/>
        <v>2.93190894232227E-2</v>
      </c>
      <c r="BA34" s="89">
        <f t="shared" si="55"/>
        <v>4.8111018126288707E-2</v>
      </c>
      <c r="BC34" s="248" t="s">
        <v>472</v>
      </c>
      <c r="BD34">
        <v>1088</v>
      </c>
      <c r="BE34">
        <v>1088</v>
      </c>
      <c r="BF34" t="s">
        <v>634</v>
      </c>
      <c r="BG34" s="118">
        <f t="shared" si="49"/>
        <v>9.27643784786647E-3</v>
      </c>
      <c r="BH34" s="118">
        <f t="shared" si="49"/>
        <v>9.27643784786647E-3</v>
      </c>
      <c r="BI34" s="118"/>
      <c r="BJ34" s="118">
        <f t="shared" si="39"/>
        <v>1.8416206261511192E-3</v>
      </c>
      <c r="BK34" s="350">
        <v>41974</v>
      </c>
      <c r="BL34" s="352">
        <v>14.25</v>
      </c>
      <c r="BM34" s="118">
        <f t="shared" si="32"/>
        <v>3.6363636363636376E-2</v>
      </c>
      <c r="BP34" s="350">
        <v>41974</v>
      </c>
      <c r="BQ34" s="352">
        <f t="shared" si="2"/>
        <v>31.33656000418868</v>
      </c>
      <c r="BR34" s="352">
        <f t="shared" si="3"/>
        <v>36.664405719186554</v>
      </c>
      <c r="BS34" s="352">
        <f t="shared" si="4"/>
        <v>30.254177146901146</v>
      </c>
      <c r="BV34" s="248" t="s">
        <v>472</v>
      </c>
      <c r="BW34">
        <v>1065</v>
      </c>
      <c r="BX34">
        <v>1080</v>
      </c>
      <c r="BY34">
        <v>1085</v>
      </c>
      <c r="BZ34" s="118">
        <f t="shared" si="56"/>
        <v>1.3320647002854402E-2</v>
      </c>
      <c r="CA34" s="118">
        <f t="shared" si="56"/>
        <v>6.5237651444547406E-3</v>
      </c>
      <c r="CB34" s="118">
        <f t="shared" si="56"/>
        <v>1.1183597390493905E-2</v>
      </c>
      <c r="CC34" s="255"/>
      <c r="CD34" s="248" t="s">
        <v>472</v>
      </c>
      <c r="CE34">
        <v>1096</v>
      </c>
      <c r="CF34" s="118">
        <f t="shared" si="41"/>
        <v>1.2003693444136765E-2</v>
      </c>
      <c r="CG34" s="118">
        <f t="shared" si="37"/>
        <v>2.7447392497712553E-3</v>
      </c>
      <c r="CH34">
        <v>1105</v>
      </c>
      <c r="CI34" s="118">
        <f t="shared" si="20"/>
        <v>1.8433179723502224E-2</v>
      </c>
      <c r="CJ34" s="118">
        <f t="shared" si="38"/>
        <v>5.4595086442219554E-3</v>
      </c>
      <c r="CK34" s="255"/>
      <c r="CL34" s="248" t="s">
        <v>472</v>
      </c>
      <c r="CM34">
        <v>1066</v>
      </c>
      <c r="CN34">
        <v>1088</v>
      </c>
      <c r="CO34">
        <v>1080</v>
      </c>
      <c r="CQ34" s="248" t="s">
        <v>376</v>
      </c>
      <c r="CR34">
        <v>1314</v>
      </c>
      <c r="CS34" t="s">
        <v>634</v>
      </c>
      <c r="CT34">
        <v>1233</v>
      </c>
      <c r="CU34" t="s">
        <v>634</v>
      </c>
      <c r="CW34" s="248" t="s">
        <v>712</v>
      </c>
      <c r="CX34">
        <v>789.90264400000001</v>
      </c>
      <c r="CY34">
        <v>789.86620500000004</v>
      </c>
      <c r="CZ34">
        <v>785.35309500000005</v>
      </c>
      <c r="DB34" s="350">
        <v>39783</v>
      </c>
      <c r="DC34">
        <f t="shared" si="10"/>
        <v>1314</v>
      </c>
      <c r="DD34">
        <f t="shared" si="16"/>
        <v>1233</v>
      </c>
      <c r="DE34" s="89">
        <f t="shared" si="33"/>
        <v>4.2857142857142927E-2</v>
      </c>
      <c r="DF34" s="89">
        <f t="shared" si="33"/>
        <v>3.5264483627204024E-2</v>
      </c>
      <c r="DG34" s="89"/>
      <c r="DH34" s="248" t="s">
        <v>690</v>
      </c>
      <c r="DI34">
        <v>18.7</v>
      </c>
      <c r="DJ34">
        <v>15.29</v>
      </c>
      <c r="DK34">
        <v>16.03</v>
      </c>
      <c r="DM34" s="353">
        <v>35309</v>
      </c>
      <c r="DN34">
        <v>16.57</v>
      </c>
      <c r="DO34">
        <v>16.03</v>
      </c>
      <c r="DP34" s="365">
        <f t="shared" si="24"/>
        <v>3.3686837180286977E-2</v>
      </c>
      <c r="DQ34" s="365">
        <f t="shared" si="24"/>
        <v>3.4861200774693346E-2</v>
      </c>
      <c r="DR34" s="365">
        <f t="shared" si="51"/>
        <v>3.4945955723985733E-2</v>
      </c>
      <c r="DS34" s="365">
        <f t="shared" si="51"/>
        <v>3.2269929890867743E-2</v>
      </c>
      <c r="DU34" s="367">
        <v>37773</v>
      </c>
      <c r="DV34" s="368">
        <v>79.5</v>
      </c>
      <c r="DW34" s="368">
        <v>79.7</v>
      </c>
      <c r="DX34" s="369">
        <v>79</v>
      </c>
      <c r="DY34" s="367">
        <v>19876</v>
      </c>
      <c r="DZ34" s="368">
        <v>6.5</v>
      </c>
      <c r="EC34" s="350">
        <v>42705</v>
      </c>
      <c r="ED34">
        <f t="shared" si="17"/>
        <v>997.2981879784636</v>
      </c>
      <c r="EE34">
        <f t="shared" si="11"/>
        <v>992.84596392498827</v>
      </c>
      <c r="EF34">
        <f t="shared" si="12"/>
        <v>1059.2320834457332</v>
      </c>
      <c r="EG34">
        <f t="shared" si="13"/>
        <v>1060.4756349277575</v>
      </c>
      <c r="EJ34" s="248" t="s">
        <v>692</v>
      </c>
      <c r="EK34" s="95">
        <v>55391300</v>
      </c>
      <c r="EL34" s="95">
        <v>668794900</v>
      </c>
      <c r="EN34" s="248" t="s">
        <v>692</v>
      </c>
      <c r="EO34" s="95">
        <v>3302100</v>
      </c>
      <c r="EP34" s="95">
        <v>41310800</v>
      </c>
      <c r="ER34" s="352">
        <f t="shared" si="14"/>
        <v>16.774567699342843</v>
      </c>
      <c r="ES34" s="352">
        <f t="shared" si="14"/>
        <v>16.189347579809638</v>
      </c>
      <c r="ET34" s="89">
        <f t="shared" si="48"/>
        <v>2.7274693813467588E-2</v>
      </c>
      <c r="EU34" s="89">
        <f t="shared" si="48"/>
        <v>3.78770627014684E-2</v>
      </c>
      <c r="EV34" s="350">
        <v>35400</v>
      </c>
      <c r="EW34" s="352">
        <f t="shared" si="47"/>
        <v>16.551191038374892</v>
      </c>
      <c r="EX34" s="352">
        <f t="shared" si="47"/>
        <v>15.971533046862552</v>
      </c>
      <c r="EY34" s="89">
        <f t="shared" si="52"/>
        <v>3.4106465014527965E-2</v>
      </c>
      <c r="EZ34" s="89">
        <f t="shared" si="52"/>
        <v>3.4491348249435561E-2</v>
      </c>
    </row>
    <row r="35" spans="1:156" ht="15" customHeight="1">
      <c r="A35" s="350">
        <v>42064</v>
      </c>
      <c r="B35" s="248" t="s">
        <v>474</v>
      </c>
      <c r="C35">
        <v>1047</v>
      </c>
      <c r="D35" s="89">
        <f t="shared" si="50"/>
        <v>5.7636887608070175E-3</v>
      </c>
      <c r="F35" s="248" t="s">
        <v>474</v>
      </c>
      <c r="G35">
        <v>1024</v>
      </c>
      <c r="H35" s="89">
        <f t="shared" si="22"/>
        <v>1.9569471624265589E-3</v>
      </c>
      <c r="I35">
        <v>1060</v>
      </c>
      <c r="J35" s="89">
        <f t="shared" si="22"/>
        <v>8.5632730732636553E-3</v>
      </c>
      <c r="K35">
        <v>1062</v>
      </c>
      <c r="L35" s="89">
        <f t="shared" si="22"/>
        <v>5.6818181818181213E-3</v>
      </c>
      <c r="M35" s="197"/>
      <c r="N35" s="248" t="s">
        <v>474</v>
      </c>
      <c r="O35">
        <v>974.714519</v>
      </c>
      <c r="P35" s="89">
        <f t="shared" si="45"/>
        <v>2.5167784656787706E-3</v>
      </c>
      <c r="Q35" s="89">
        <f t="shared" si="15"/>
        <v>-1.6708433970487047E-3</v>
      </c>
      <c r="R35" s="88">
        <f t="shared" si="43"/>
        <v>955.66600835116628</v>
      </c>
      <c r="S35" s="89">
        <f t="shared" si="46"/>
        <v>2.5167784656785486E-3</v>
      </c>
      <c r="T35" s="89">
        <f t="shared" si="5"/>
        <v>-1.6708433970487047E-3</v>
      </c>
      <c r="U35" s="89"/>
      <c r="V35" s="248" t="s">
        <v>474</v>
      </c>
      <c r="W35">
        <v>970.92578400000002</v>
      </c>
      <c r="X35" s="89">
        <f t="shared" si="23"/>
        <v>1.7642340873515128E-2</v>
      </c>
      <c r="Y35" s="88">
        <f t="shared" si="44"/>
        <v>952.32131965027531</v>
      </c>
      <c r="Z35" s="89">
        <f t="shared" si="19"/>
        <v>1.7642340873515128E-2</v>
      </c>
      <c r="AA35" s="89">
        <f t="shared" si="6"/>
        <v>1.5785320873997755E-3</v>
      </c>
      <c r="AB35" s="89"/>
      <c r="AC35" s="248" t="s">
        <v>474</v>
      </c>
      <c r="AD35">
        <v>39.909999999999997</v>
      </c>
      <c r="AE35">
        <v>27.55</v>
      </c>
      <c r="AF35">
        <v>29.82</v>
      </c>
      <c r="AG35" s="89">
        <f t="shared" si="27"/>
        <v>1.3251783893985847E-2</v>
      </c>
      <c r="AH35" s="89">
        <f t="shared" si="7"/>
        <v>0</v>
      </c>
      <c r="AJ35" s="248" t="s">
        <v>474</v>
      </c>
      <c r="AK35">
        <v>34.74</v>
      </c>
      <c r="AL35" s="89">
        <f t="shared" si="28"/>
        <v>1.9964768056371041E-2</v>
      </c>
      <c r="AM35" s="89">
        <f t="shared" si="8"/>
        <v>-4.2992261392948983E-3</v>
      </c>
      <c r="AN35" s="89"/>
      <c r="AO35" s="248" t="s">
        <v>474</v>
      </c>
      <c r="AP35" s="351">
        <v>28.78</v>
      </c>
      <c r="AQ35" s="89">
        <f t="shared" si="29"/>
        <v>2.0567375886524797E-2</v>
      </c>
      <c r="AR35" s="89">
        <f t="shared" si="9"/>
        <v>-3.4734282737058919E-4</v>
      </c>
      <c r="AT35" s="248" t="s">
        <v>474</v>
      </c>
      <c r="AU35" s="95">
        <v>184582800</v>
      </c>
      <c r="AV35" s="89">
        <f t="shared" si="53"/>
        <v>4.0796130990139678E-2</v>
      </c>
      <c r="AX35" s="248" t="s">
        <v>474</v>
      </c>
      <c r="AY35" s="95">
        <v>6188900</v>
      </c>
      <c r="AZ35" s="89">
        <f t="shared" si="54"/>
        <v>2.7135127958309857E-2</v>
      </c>
      <c r="BA35" s="89">
        <f t="shared" si="55"/>
        <v>3.7763305827199334E-2</v>
      </c>
      <c r="BC35" s="248" t="s">
        <v>474</v>
      </c>
      <c r="BD35">
        <v>1090</v>
      </c>
      <c r="BE35">
        <v>1090</v>
      </c>
      <c r="BF35" t="s">
        <v>634</v>
      </c>
      <c r="BG35" s="118">
        <f t="shared" si="49"/>
        <v>1.0194624652456019E-2</v>
      </c>
      <c r="BH35" s="118">
        <f t="shared" si="49"/>
        <v>1.0194624652456019E-2</v>
      </c>
      <c r="BI35" s="118"/>
      <c r="BJ35" s="118">
        <f t="shared" si="39"/>
        <v>1.8382352941177516E-3</v>
      </c>
      <c r="BK35" s="350">
        <v>42064</v>
      </c>
      <c r="BL35" s="352">
        <v>14.25</v>
      </c>
      <c r="BM35" s="118">
        <f t="shared" si="32"/>
        <v>3.6363636363636376E-2</v>
      </c>
      <c r="BP35" s="350">
        <v>42064</v>
      </c>
      <c r="BQ35" s="352">
        <f t="shared" si="2"/>
        <v>31.38900611780053</v>
      </c>
      <c r="BR35" s="352">
        <f t="shared" si="3"/>
        <v>36.567876342467827</v>
      </c>
      <c r="BS35" s="352">
        <f t="shared" si="4"/>
        <v>30.294285582505008</v>
      </c>
      <c r="BT35" s="89"/>
      <c r="BU35" s="89"/>
      <c r="BV35" s="248" t="s">
        <v>474</v>
      </c>
      <c r="BW35">
        <v>1067</v>
      </c>
      <c r="BX35">
        <v>1080</v>
      </c>
      <c r="BY35">
        <v>1088</v>
      </c>
      <c r="BZ35" s="118">
        <f t="shared" si="56"/>
        <v>1.3295346628680038E-2</v>
      </c>
      <c r="CA35" s="118">
        <f t="shared" si="56"/>
        <v>6.5237651444547406E-3</v>
      </c>
      <c r="CB35" s="118">
        <f t="shared" si="56"/>
        <v>1.1152416356877248E-2</v>
      </c>
      <c r="CC35" s="255"/>
      <c r="CD35" s="248" t="s">
        <v>474</v>
      </c>
      <c r="CE35">
        <v>1099</v>
      </c>
      <c r="CF35" s="118">
        <f t="shared" si="41"/>
        <v>1.2903225806451646E-2</v>
      </c>
      <c r="CG35" s="118">
        <f t="shared" si="37"/>
        <v>2.7372262773721623E-3</v>
      </c>
      <c r="CH35">
        <v>1108</v>
      </c>
      <c r="CI35" s="118">
        <f t="shared" si="20"/>
        <v>1.8382352941176405E-2</v>
      </c>
      <c r="CJ35" s="118">
        <f t="shared" si="38"/>
        <v>2.7149321266968229E-3</v>
      </c>
      <c r="CK35" s="255"/>
      <c r="CL35" s="248" t="s">
        <v>474</v>
      </c>
      <c r="CM35">
        <v>1067</v>
      </c>
      <c r="CN35">
        <v>1090</v>
      </c>
      <c r="CO35">
        <v>1080</v>
      </c>
      <c r="CP35" s="153"/>
      <c r="CQ35" s="248" t="s">
        <v>380</v>
      </c>
      <c r="CR35">
        <v>1329</v>
      </c>
      <c r="CS35" t="s">
        <v>634</v>
      </c>
      <c r="CT35">
        <v>1240</v>
      </c>
      <c r="CU35" t="s">
        <v>634</v>
      </c>
      <c r="CW35" s="248" t="s">
        <v>713</v>
      </c>
      <c r="CX35">
        <v>791.99602500000003</v>
      </c>
      <c r="CY35">
        <v>792.664669</v>
      </c>
      <c r="CZ35" t="s">
        <v>634</v>
      </c>
      <c r="DB35" s="350">
        <v>39873</v>
      </c>
      <c r="DC35">
        <f t="shared" si="10"/>
        <v>1329</v>
      </c>
      <c r="DD35">
        <f t="shared" si="16"/>
        <v>1240</v>
      </c>
      <c r="DE35" s="89">
        <f t="shared" si="33"/>
        <v>4.3990573448546844E-2</v>
      </c>
      <c r="DF35" s="89">
        <f t="shared" si="33"/>
        <v>3.3333333333333437E-2</v>
      </c>
      <c r="DG35" s="89"/>
      <c r="DH35" s="248" t="s">
        <v>692</v>
      </c>
      <c r="DI35">
        <v>19.05</v>
      </c>
      <c r="DJ35">
        <v>15.41</v>
      </c>
      <c r="DK35">
        <v>16.190000000000001</v>
      </c>
      <c r="DM35" s="353">
        <v>35400</v>
      </c>
      <c r="DN35">
        <v>16.77</v>
      </c>
      <c r="DO35">
        <v>16.190000000000001</v>
      </c>
      <c r="DP35" s="365">
        <f t="shared" si="24"/>
        <v>2.6944274341702545E-2</v>
      </c>
      <c r="DQ35" s="365">
        <f t="shared" si="24"/>
        <v>3.7820512820512908E-2</v>
      </c>
      <c r="DR35" s="365">
        <f t="shared" si="51"/>
        <v>3.3943100173504659E-2</v>
      </c>
      <c r="DS35" s="365">
        <f t="shared" si="51"/>
        <v>3.4469021818251955E-2</v>
      </c>
      <c r="DU35" s="367">
        <v>37865</v>
      </c>
      <c r="DV35" s="368">
        <v>81.099999999999994</v>
      </c>
      <c r="DW35" s="368">
        <v>80.8</v>
      </c>
      <c r="DX35" s="369">
        <v>81.3</v>
      </c>
      <c r="DY35" s="367">
        <v>19968</v>
      </c>
      <c r="DZ35" s="368">
        <v>6.5</v>
      </c>
      <c r="EC35" s="350">
        <v>42795</v>
      </c>
      <c r="ED35">
        <f t="shared" si="17"/>
        <v>990.18189272300003</v>
      </c>
      <c r="EE35">
        <f t="shared" si="11"/>
        <v>984.00978831599991</v>
      </c>
      <c r="EF35">
        <f t="shared" si="12"/>
        <v>1059.4286379240125</v>
      </c>
      <c r="EG35">
        <f t="shared" si="13"/>
        <v>1059.8267767886257</v>
      </c>
      <c r="EJ35" s="248" t="s">
        <v>694</v>
      </c>
      <c r="EK35" s="95">
        <v>54926700</v>
      </c>
      <c r="EL35" s="95">
        <v>656056600</v>
      </c>
      <c r="EN35" s="248" t="s">
        <v>694</v>
      </c>
      <c r="EO35" s="95">
        <v>3224100</v>
      </c>
      <c r="EP35" s="95">
        <v>40034600</v>
      </c>
      <c r="ER35" s="352">
        <f t="shared" si="14"/>
        <v>17.036289196985205</v>
      </c>
      <c r="ES35" s="352">
        <f t="shared" si="14"/>
        <v>16.387240037367675</v>
      </c>
      <c r="ET35" s="89">
        <f t="shared" si="48"/>
        <v>3.9021588179979583E-2</v>
      </c>
      <c r="EU35" s="89">
        <f t="shared" si="48"/>
        <v>4.2496505113449157E-2</v>
      </c>
      <c r="EV35" s="350">
        <v>35490</v>
      </c>
      <c r="EW35" s="352">
        <f t="shared" si="47"/>
        <v>16.707932637003633</v>
      </c>
      <c r="EX35" s="352">
        <f t="shared" si="47"/>
        <v>16.137098274750429</v>
      </c>
      <c r="EY35" s="89">
        <f t="shared" si="52"/>
        <v>3.5448026958419199E-2</v>
      </c>
      <c r="EZ35" s="89">
        <f t="shared" si="52"/>
        <v>3.7486147798653224E-2</v>
      </c>
    </row>
    <row r="36" spans="1:156" ht="15" customHeight="1">
      <c r="A36" s="360">
        <v>42156</v>
      </c>
      <c r="B36" s="361" t="s">
        <v>477</v>
      </c>
      <c r="C36" s="362">
        <v>1050</v>
      </c>
      <c r="D36" s="363">
        <f t="shared" si="50"/>
        <v>6.7114093959732557E-3</v>
      </c>
      <c r="F36" s="248" t="s">
        <v>477</v>
      </c>
      <c r="G36">
        <v>1026</v>
      </c>
      <c r="H36" s="363">
        <f t="shared" si="22"/>
        <v>3.9138943248533398E-3</v>
      </c>
      <c r="I36">
        <v>1063</v>
      </c>
      <c r="J36" s="363">
        <f t="shared" si="22"/>
        <v>1.0456273764258617E-2</v>
      </c>
      <c r="K36">
        <v>1071</v>
      </c>
      <c r="L36" s="363">
        <f t="shared" si="22"/>
        <v>6.5789473684210176E-3</v>
      </c>
      <c r="M36" s="197"/>
      <c r="N36" s="248" t="s">
        <v>477</v>
      </c>
      <c r="O36">
        <v>978.792822</v>
      </c>
      <c r="P36" s="363">
        <f t="shared" si="45"/>
        <v>4.1840999805604628E-3</v>
      </c>
      <c r="Q36" s="363">
        <f t="shared" si="15"/>
        <v>4.1840999805604628E-3</v>
      </c>
      <c r="R36" s="88">
        <f t="shared" si="43"/>
        <v>959.66461047813084</v>
      </c>
      <c r="S36" s="363">
        <f t="shared" si="46"/>
        <v>4.1840999805606849E-3</v>
      </c>
      <c r="T36" s="89">
        <f t="shared" si="5"/>
        <v>4.1840999805606849E-3</v>
      </c>
      <c r="U36" s="89"/>
      <c r="V36" s="248" t="s">
        <v>477</v>
      </c>
      <c r="W36">
        <v>973.22111700000005</v>
      </c>
      <c r="X36" s="363">
        <f t="shared" si="23"/>
        <v>1.7600000316189357E-2</v>
      </c>
      <c r="Y36" s="88">
        <f t="shared" si="44"/>
        <v>954.57267046165396</v>
      </c>
      <c r="Z36" s="363">
        <f t="shared" si="19"/>
        <v>1.7600000316189357E-2</v>
      </c>
      <c r="AA36" s="89">
        <f t="shared" si="6"/>
        <v>2.3640663764676884E-3</v>
      </c>
      <c r="AB36" s="89"/>
      <c r="AC36" s="248" t="s">
        <v>477</v>
      </c>
      <c r="AD36">
        <v>39.44</v>
      </c>
      <c r="AE36">
        <v>27.62</v>
      </c>
      <c r="AF36">
        <v>29.84</v>
      </c>
      <c r="AG36" s="363">
        <f t="shared" si="27"/>
        <v>2.5782055689240302E-2</v>
      </c>
      <c r="AH36" s="363">
        <f t="shared" si="7"/>
        <v>6.7069081153592336E-4</v>
      </c>
      <c r="AJ36" s="248" t="s">
        <v>477</v>
      </c>
      <c r="AK36">
        <v>35.01</v>
      </c>
      <c r="AL36" s="363">
        <f t="shared" si="28"/>
        <v>3.7026066350710929E-2</v>
      </c>
      <c r="AM36" s="363">
        <f t="shared" si="8"/>
        <v>7.7720207253884066E-3</v>
      </c>
      <c r="AN36" s="89"/>
      <c r="AO36" s="248" t="s">
        <v>477</v>
      </c>
      <c r="AP36" s="351">
        <v>29.04</v>
      </c>
      <c r="AQ36" s="363">
        <f t="shared" si="29"/>
        <v>2.7964601769911557E-2</v>
      </c>
      <c r="AR36" s="363">
        <f t="shared" si="9"/>
        <v>9.0340514246003423E-3</v>
      </c>
      <c r="AT36" s="248" t="s">
        <v>477</v>
      </c>
      <c r="AU36" s="95">
        <v>189026800</v>
      </c>
      <c r="AV36" s="363">
        <f t="shared" si="53"/>
        <v>7.0513020179990615E-2</v>
      </c>
      <c r="AX36" s="248" t="s">
        <v>477</v>
      </c>
      <c r="AY36" s="95">
        <v>6333600</v>
      </c>
      <c r="AZ36" s="363">
        <f t="shared" si="54"/>
        <v>4.3547031782907419E-2</v>
      </c>
      <c r="BA36" s="363">
        <f t="shared" si="55"/>
        <v>3.4960673428297451E-2</v>
      </c>
      <c r="BC36" s="248" t="s">
        <v>477</v>
      </c>
      <c r="BD36">
        <v>1093</v>
      </c>
      <c r="BE36">
        <v>1093</v>
      </c>
      <c r="BF36">
        <v>1110</v>
      </c>
      <c r="BG36" s="363">
        <f>BD36/BD32-1</f>
        <v>9.2336103416434945E-3</v>
      </c>
      <c r="BH36" s="363">
        <f>BE36/BE32-1</f>
        <v>9.2336103416434945E-3</v>
      </c>
      <c r="BI36" s="363">
        <f>BF36/BF32-1</f>
        <v>8.1743869209809361E-3</v>
      </c>
      <c r="BJ36" s="118">
        <f t="shared" si="39"/>
        <v>2.7522935779815683E-3</v>
      </c>
      <c r="BK36" s="360">
        <v>42156</v>
      </c>
      <c r="BL36" s="364">
        <v>14.75</v>
      </c>
      <c r="BM36" s="363">
        <f t="shared" si="32"/>
        <v>3.5087719298245723E-2</v>
      </c>
      <c r="BP36" s="350">
        <v>42156</v>
      </c>
      <c r="BQ36" s="352">
        <f t="shared" si="2"/>
        <v>31.279183205943045</v>
      </c>
      <c r="BR36" s="352">
        <f t="shared" si="3"/>
        <v>36.698532306972716</v>
      </c>
      <c r="BS36" s="352">
        <f t="shared" si="4"/>
        <v>30.440599205783716</v>
      </c>
      <c r="BV36" s="248" t="s">
        <v>477</v>
      </c>
      <c r="BW36">
        <v>1068</v>
      </c>
      <c r="BX36">
        <v>1082</v>
      </c>
      <c r="BY36">
        <v>1090</v>
      </c>
      <c r="BZ36" s="363">
        <f t="shared" si="56"/>
        <v>1.3282732447817747E-2</v>
      </c>
      <c r="CA36" s="363">
        <f t="shared" si="56"/>
        <v>4.6425255338904403E-3</v>
      </c>
      <c r="CB36" s="363">
        <f t="shared" si="56"/>
        <v>1.1131725417439675E-2</v>
      </c>
      <c r="CC36" s="255"/>
      <c r="CD36" s="248" t="s">
        <v>477</v>
      </c>
      <c r="CE36">
        <v>1103</v>
      </c>
      <c r="CF36" s="118">
        <f t="shared" si="41"/>
        <v>1.2855831037649201E-2</v>
      </c>
      <c r="CG36" s="118">
        <f t="shared" si="37"/>
        <v>3.6396724294813776E-3</v>
      </c>
      <c r="CH36">
        <v>1114</v>
      </c>
      <c r="CI36" s="118">
        <f t="shared" si="20"/>
        <v>1.8281535648994485E-2</v>
      </c>
      <c r="CJ36" s="118">
        <f t="shared" si="38"/>
        <v>5.4151624548737232E-3</v>
      </c>
      <c r="CK36" s="255"/>
      <c r="CL36" s="248" t="s">
        <v>477</v>
      </c>
      <c r="CM36">
        <v>1069</v>
      </c>
      <c r="CN36">
        <v>1093</v>
      </c>
      <c r="CO36">
        <v>1082</v>
      </c>
      <c r="CQ36" s="248" t="s">
        <v>384</v>
      </c>
      <c r="CR36">
        <v>1343</v>
      </c>
      <c r="CS36">
        <v>1356</v>
      </c>
      <c r="CT36">
        <v>1244</v>
      </c>
      <c r="CU36">
        <v>1250</v>
      </c>
      <c r="CW36" s="248" t="s">
        <v>714</v>
      </c>
      <c r="CX36">
        <v>795.48499500000003</v>
      </c>
      <c r="CY36">
        <v>796.16274699999997</v>
      </c>
      <c r="CZ36" t="s">
        <v>634</v>
      </c>
      <c r="DB36" s="350">
        <v>39965</v>
      </c>
      <c r="DC36" s="88">
        <f>CR$36*CN12/1000</f>
        <v>1343</v>
      </c>
      <c r="DD36" s="88">
        <f t="shared" ref="DD36:DD66" si="57">CT$36*CY70/1000</f>
        <v>1244</v>
      </c>
      <c r="DE36" s="89">
        <f t="shared" si="33"/>
        <v>4.3512043512043519E-2</v>
      </c>
      <c r="DF36" s="89">
        <f t="shared" si="33"/>
        <v>2.8099173553719048E-2</v>
      </c>
      <c r="DG36" s="89"/>
      <c r="DH36" s="248" t="s">
        <v>694</v>
      </c>
      <c r="DI36">
        <v>19.27</v>
      </c>
      <c r="DJ36">
        <v>15.61</v>
      </c>
      <c r="DK36">
        <v>16.39</v>
      </c>
      <c r="DM36" s="353">
        <v>35490</v>
      </c>
      <c r="DN36">
        <v>17.04</v>
      </c>
      <c r="DO36">
        <v>16.39</v>
      </c>
      <c r="DP36" s="365">
        <f t="shared" si="24"/>
        <v>3.9024390243902474E-2</v>
      </c>
      <c r="DQ36" s="365">
        <f t="shared" si="24"/>
        <v>4.2620865139949116E-2</v>
      </c>
      <c r="DR36" s="365">
        <f t="shared" si="51"/>
        <v>3.5347989861906015E-2</v>
      </c>
      <c r="DS36" s="365">
        <f t="shared" si="51"/>
        <v>3.7587164771154313E-2</v>
      </c>
      <c r="DU36" s="367">
        <v>37956</v>
      </c>
      <c r="DV36" s="368">
        <v>81.900000000000006</v>
      </c>
      <c r="DW36" s="368">
        <v>82.1</v>
      </c>
      <c r="DX36" s="369">
        <v>81.599999999999994</v>
      </c>
      <c r="DY36" s="367">
        <v>20059</v>
      </c>
      <c r="DZ36" s="368">
        <v>6.5</v>
      </c>
      <c r="EC36" s="350">
        <v>42887</v>
      </c>
      <c r="ED36">
        <f t="shared" si="17"/>
        <v>992.82708032599999</v>
      </c>
      <c r="EE36">
        <f t="shared" si="11"/>
        <v>986.65497591899998</v>
      </c>
      <c r="EF36">
        <f t="shared" si="12"/>
        <v>1061.664955587901</v>
      </c>
      <c r="EG36">
        <f t="shared" si="13"/>
        <v>1064.5394871191224</v>
      </c>
      <c r="EJ36" s="248" t="s">
        <v>696</v>
      </c>
      <c r="EK36" s="95">
        <v>57259900</v>
      </c>
      <c r="EL36" s="95">
        <v>676711200</v>
      </c>
      <c r="EN36" s="248" t="s">
        <v>696</v>
      </c>
      <c r="EO36" s="95">
        <v>3351800</v>
      </c>
      <c r="EP36" s="95">
        <v>40985400</v>
      </c>
      <c r="ER36" s="352">
        <f t="shared" si="14"/>
        <v>17.083328360880721</v>
      </c>
      <c r="ES36" s="352">
        <f t="shared" si="14"/>
        <v>16.511030757294062</v>
      </c>
      <c r="ET36" s="89">
        <f t="shared" si="48"/>
        <v>3.8194614282497596E-2</v>
      </c>
      <c r="EU36" s="89">
        <f t="shared" si="48"/>
        <v>3.5751037178190614E-2</v>
      </c>
      <c r="EV36" s="350">
        <v>35582</v>
      </c>
      <c r="EW36" s="352">
        <f t="shared" si="47"/>
        <v>16.865291621434917</v>
      </c>
      <c r="EX36" s="352">
        <f t="shared" si="47"/>
        <v>16.279566482018296</v>
      </c>
      <c r="EY36" s="89">
        <f t="shared" si="52"/>
        <v>3.4536858150432392E-2</v>
      </c>
      <c r="EZ36" s="89">
        <f t="shared" si="52"/>
        <v>3.7608936152322636E-2</v>
      </c>
    </row>
    <row r="37" spans="1:156" ht="15" customHeight="1">
      <c r="A37" s="350">
        <v>42248</v>
      </c>
      <c r="B37" s="248" t="s">
        <v>480</v>
      </c>
      <c r="C37">
        <v>1053</v>
      </c>
      <c r="D37" s="89">
        <f t="shared" si="50"/>
        <v>5.7306590257879542E-3</v>
      </c>
      <c r="F37" s="248" t="s">
        <v>480</v>
      </c>
      <c r="G37">
        <v>1031</v>
      </c>
      <c r="H37" s="89">
        <f t="shared" si="22"/>
        <v>8.8062622309197369E-3</v>
      </c>
      <c r="I37">
        <v>1062</v>
      </c>
      <c r="J37" s="89">
        <f t="shared" si="22"/>
        <v>2.8328611898016387E-3</v>
      </c>
      <c r="K37">
        <v>1074</v>
      </c>
      <c r="L37" s="89">
        <f t="shared" si="22"/>
        <v>6.5604498594189486E-3</v>
      </c>
      <c r="M37" s="197"/>
      <c r="N37" s="248" t="s">
        <v>480</v>
      </c>
      <c r="O37">
        <v>982.05546500000003</v>
      </c>
      <c r="P37" s="89">
        <f t="shared" si="45"/>
        <v>4.1701413473294036E-3</v>
      </c>
      <c r="Q37" s="89">
        <f t="shared" si="15"/>
        <v>3.3333335989667034E-3</v>
      </c>
      <c r="R37" s="88">
        <f t="shared" si="43"/>
        <v>962.86349276797682</v>
      </c>
      <c r="S37" s="89">
        <f t="shared" si="46"/>
        <v>4.1701413473294036E-3</v>
      </c>
      <c r="T37" s="89">
        <f t="shared" si="5"/>
        <v>3.3333335989667034E-3</v>
      </c>
      <c r="U37" s="89"/>
      <c r="V37" s="248" t="s">
        <v>480</v>
      </c>
      <c r="W37">
        <v>967.10023000000001</v>
      </c>
      <c r="X37" s="89">
        <f t="shared" si="23"/>
        <v>2.379064417207255E-3</v>
      </c>
      <c r="Y37" s="88">
        <f t="shared" si="44"/>
        <v>948.56906927881607</v>
      </c>
      <c r="Z37" s="89">
        <f t="shared" si="19"/>
        <v>2.379064417207255E-3</v>
      </c>
      <c r="AA37" s="89">
        <f t="shared" si="6"/>
        <v>-6.2893076332620756E-3</v>
      </c>
      <c r="AB37" s="89"/>
      <c r="AC37" s="248" t="s">
        <v>480</v>
      </c>
      <c r="AD37">
        <v>39.979999999999997</v>
      </c>
      <c r="AE37">
        <v>27.51</v>
      </c>
      <c r="AF37">
        <v>29.81</v>
      </c>
      <c r="AG37" s="89">
        <f t="shared" si="27"/>
        <v>1.5672913117546816E-2</v>
      </c>
      <c r="AH37" s="89">
        <f t="shared" si="7"/>
        <v>-1.0053619302949901E-3</v>
      </c>
      <c r="AJ37" s="248" t="s">
        <v>480</v>
      </c>
      <c r="AK37">
        <v>35.369999999999997</v>
      </c>
      <c r="AL37" s="89">
        <f t="shared" si="28"/>
        <v>3.4815681685195887E-2</v>
      </c>
      <c r="AM37" s="89">
        <f t="shared" si="8"/>
        <v>1.0282776349614275E-2</v>
      </c>
      <c r="AN37" s="89"/>
      <c r="AO37" s="248" t="s">
        <v>480</v>
      </c>
      <c r="AP37" s="351">
        <v>29.31</v>
      </c>
      <c r="AQ37" s="89">
        <f t="shared" si="29"/>
        <v>2.2679692951849129E-2</v>
      </c>
      <c r="AR37" s="89">
        <f t="shared" si="9"/>
        <v>9.2975206611569661E-3</v>
      </c>
      <c r="AT37" s="248" t="s">
        <v>480</v>
      </c>
      <c r="AU37" s="95">
        <v>188509800</v>
      </c>
      <c r="AV37" s="89">
        <f t="shared" si="53"/>
        <v>5.4052467277146521E-2</v>
      </c>
      <c r="AX37" s="248" t="s">
        <v>480</v>
      </c>
      <c r="AY37" s="95">
        <v>6324100</v>
      </c>
      <c r="AZ37" s="89">
        <f t="shared" si="54"/>
        <v>3.7809541001362135E-2</v>
      </c>
      <c r="BA37" s="89">
        <f t="shared" si="55"/>
        <v>3.4498053732729295E-2</v>
      </c>
      <c r="BC37" s="248" t="s">
        <v>480</v>
      </c>
      <c r="BD37">
        <v>1096</v>
      </c>
      <c r="BE37">
        <v>1095</v>
      </c>
      <c r="BF37" t="s">
        <v>634</v>
      </c>
      <c r="BG37" s="118">
        <f t="shared" ref="BG37:BH50" si="58">BD37/BD33-1</f>
        <v>9.208103130755152E-3</v>
      </c>
      <c r="BH37" s="118">
        <f t="shared" si="58"/>
        <v>8.2872928176795924E-3</v>
      </c>
      <c r="BI37" s="118"/>
      <c r="BJ37" s="118">
        <f t="shared" si="39"/>
        <v>2.7447392497712553E-3</v>
      </c>
      <c r="BK37" s="350">
        <v>42248</v>
      </c>
      <c r="BL37" s="352">
        <v>14.75</v>
      </c>
      <c r="BM37" s="118">
        <f t="shared" si="32"/>
        <v>3.5087719298245723E-2</v>
      </c>
      <c r="BP37" s="350">
        <v>42248</v>
      </c>
      <c r="BQ37" s="352">
        <f t="shared" si="2"/>
        <v>31.143923220263325</v>
      </c>
      <c r="BR37" s="352">
        <f t="shared" si="3"/>
        <v>36.952719366008509</v>
      </c>
      <c r="BS37" s="352">
        <f t="shared" si="4"/>
        <v>30.621549466149549</v>
      </c>
      <c r="BV37" s="248" t="s">
        <v>480</v>
      </c>
      <c r="BW37">
        <v>1071</v>
      </c>
      <c r="BX37">
        <v>1086</v>
      </c>
      <c r="BY37">
        <v>1093</v>
      </c>
      <c r="BZ37" s="118">
        <f t="shared" si="56"/>
        <v>1.2287334593572785E-2</v>
      </c>
      <c r="CA37" s="118">
        <f t="shared" si="56"/>
        <v>6.4874884151993051E-3</v>
      </c>
      <c r="CB37" s="118">
        <f t="shared" si="56"/>
        <v>1.0166358595194103E-2</v>
      </c>
      <c r="CC37" s="255"/>
      <c r="CD37" s="248" t="s">
        <v>480</v>
      </c>
      <c r="CE37">
        <v>1105</v>
      </c>
      <c r="CF37" s="118">
        <f t="shared" si="41"/>
        <v>1.0978956999085021E-2</v>
      </c>
      <c r="CG37" s="118">
        <f t="shared" si="37"/>
        <v>1.8132366273799772E-3</v>
      </c>
      <c r="CH37">
        <v>1118</v>
      </c>
      <c r="CI37" s="118">
        <f t="shared" si="20"/>
        <v>1.7288444040036488E-2</v>
      </c>
      <c r="CJ37" s="118">
        <f t="shared" si="38"/>
        <v>3.5906642728904536E-3</v>
      </c>
      <c r="CK37" s="255"/>
      <c r="CL37" s="248" t="s">
        <v>480</v>
      </c>
      <c r="CM37">
        <v>1072</v>
      </c>
      <c r="CN37">
        <v>1096</v>
      </c>
      <c r="CO37">
        <v>1086</v>
      </c>
      <c r="CQ37" s="248" t="s">
        <v>388</v>
      </c>
      <c r="CR37">
        <v>1352</v>
      </c>
      <c r="CS37" t="s">
        <v>634</v>
      </c>
      <c r="CT37" t="s">
        <v>634</v>
      </c>
      <c r="CU37" t="s">
        <v>634</v>
      </c>
      <c r="CW37" s="248" t="s">
        <v>715</v>
      </c>
      <c r="CX37">
        <v>799.67175799999995</v>
      </c>
      <c r="CY37">
        <v>800.36044200000003</v>
      </c>
      <c r="CZ37" t="s">
        <v>634</v>
      </c>
      <c r="DB37" s="350">
        <v>40057</v>
      </c>
      <c r="DC37" s="88">
        <f t="shared" ref="DC37:DC66" si="59">CR$36*CN13/1000</f>
        <v>1351.058</v>
      </c>
      <c r="DD37" s="88">
        <f t="shared" si="57"/>
        <v>1250.22</v>
      </c>
      <c r="DE37" s="89">
        <f t="shared" si="33"/>
        <v>3.3709257842387208E-2</v>
      </c>
      <c r="DF37" s="89">
        <f t="shared" si="33"/>
        <v>2.0587755102040806E-2</v>
      </c>
      <c r="DG37" s="89"/>
      <c r="DH37" s="248" t="s">
        <v>696</v>
      </c>
      <c r="DI37">
        <v>19.36</v>
      </c>
      <c r="DJ37">
        <v>15.74</v>
      </c>
      <c r="DK37">
        <v>16.510000000000002</v>
      </c>
      <c r="DM37" s="353">
        <v>35582</v>
      </c>
      <c r="DN37">
        <v>17.079999999999998</v>
      </c>
      <c r="DO37">
        <v>16.510000000000002</v>
      </c>
      <c r="DP37" s="365">
        <f t="shared" si="24"/>
        <v>3.8297872340425476E-2</v>
      </c>
      <c r="DQ37" s="365">
        <f t="shared" si="24"/>
        <v>3.5759096612296259E-2</v>
      </c>
      <c r="DR37" s="365">
        <f t="shared" si="51"/>
        <v>3.4477127089575399E-2</v>
      </c>
      <c r="DS37" s="365">
        <f t="shared" si="51"/>
        <v>3.7761084305170778E-2</v>
      </c>
      <c r="DU37" s="367">
        <v>38047</v>
      </c>
      <c r="DV37" s="368">
        <v>82.4</v>
      </c>
      <c r="DW37" s="368">
        <v>82.5</v>
      </c>
      <c r="DX37" s="369">
        <v>82.3</v>
      </c>
      <c r="DY37" s="367">
        <v>20149</v>
      </c>
      <c r="DZ37" s="368">
        <v>6.5</v>
      </c>
      <c r="EC37" s="350">
        <v>42979</v>
      </c>
      <c r="ED37">
        <f t="shared" si="17"/>
        <v>1010.8051953151149</v>
      </c>
      <c r="EE37">
        <f t="shared" si="11"/>
        <v>981.84983815765065</v>
      </c>
      <c r="EF37">
        <f t="shared" si="12"/>
        <v>1069.0164030494009</v>
      </c>
      <c r="EG37">
        <f t="shared" si="13"/>
        <v>1067.7290377693218</v>
      </c>
      <c r="EJ37" s="248" t="s">
        <v>698</v>
      </c>
      <c r="EK37" s="95">
        <v>60946800</v>
      </c>
      <c r="EL37" s="95">
        <v>680299400</v>
      </c>
      <c r="EN37" s="248" t="s">
        <v>698</v>
      </c>
      <c r="EO37" s="95">
        <v>3515500</v>
      </c>
      <c r="EP37" s="95">
        <v>40895800</v>
      </c>
      <c r="ER37" s="352">
        <f t="shared" si="14"/>
        <v>17.336595078936138</v>
      </c>
      <c r="ES37" s="352">
        <f t="shared" si="14"/>
        <v>16.634945397815912</v>
      </c>
      <c r="ET37" s="89">
        <f t="shared" si="48"/>
        <v>4.6447904636216508E-2</v>
      </c>
      <c r="EU37" s="89">
        <f t="shared" si="48"/>
        <v>3.7736088647896793E-2</v>
      </c>
      <c r="EV37" s="350">
        <v>35674</v>
      </c>
      <c r="EW37" s="352">
        <f t="shared" si="47"/>
        <v>17.062358606786873</v>
      </c>
      <c r="EX37" s="352">
        <f t="shared" si="47"/>
        <v>16.430300576009056</v>
      </c>
      <c r="EY37" s="89">
        <f t="shared" si="52"/>
        <v>3.7933564544075482E-2</v>
      </c>
      <c r="EZ37" s="89">
        <f t="shared" si="52"/>
        <v>3.8388656624815498E-2</v>
      </c>
    </row>
    <row r="38" spans="1:156" ht="15" customHeight="1">
      <c r="A38" s="350">
        <v>42339</v>
      </c>
      <c r="B38" s="248" t="s">
        <v>483</v>
      </c>
      <c r="C38">
        <v>1052</v>
      </c>
      <c r="D38" s="89">
        <f t="shared" si="50"/>
        <v>5.7361376673039643E-3</v>
      </c>
      <c r="F38" s="248" t="s">
        <v>483</v>
      </c>
      <c r="G38">
        <v>1032</v>
      </c>
      <c r="H38" s="89">
        <f t="shared" si="22"/>
        <v>8.7976539589442737E-3</v>
      </c>
      <c r="I38">
        <v>1062</v>
      </c>
      <c r="J38" s="89">
        <f t="shared" si="22"/>
        <v>3.780718336483968E-3</v>
      </c>
      <c r="K38">
        <v>1068</v>
      </c>
      <c r="L38" s="89">
        <f t="shared" si="22"/>
        <v>5.6497175141243527E-3</v>
      </c>
      <c r="M38" s="197"/>
      <c r="N38" s="248" t="s">
        <v>483</v>
      </c>
      <c r="O38">
        <v>977.16150100000004</v>
      </c>
      <c r="P38" s="89">
        <f t="shared" si="45"/>
        <v>8.3542221063814814E-4</v>
      </c>
      <c r="Q38" s="89">
        <f t="shared" si="15"/>
        <v>-4.9833885909895681E-3</v>
      </c>
      <c r="R38" s="88">
        <f t="shared" si="43"/>
        <v>958.06516982343646</v>
      </c>
      <c r="S38" s="89">
        <f t="shared" si="46"/>
        <v>8.3542221063814814E-4</v>
      </c>
      <c r="T38" s="89">
        <f t="shared" si="5"/>
        <v>-4.9833885909896791E-3</v>
      </c>
      <c r="U38" s="89"/>
      <c r="V38" s="248" t="s">
        <v>483</v>
      </c>
      <c r="W38">
        <v>972.456006</v>
      </c>
      <c r="X38" s="89">
        <f t="shared" si="23"/>
        <v>3.1570641747995509E-3</v>
      </c>
      <c r="Y38" s="88">
        <f t="shared" si="44"/>
        <v>953.82222019119445</v>
      </c>
      <c r="Z38" s="89">
        <f t="shared" si="19"/>
        <v>3.157064174799773E-3</v>
      </c>
      <c r="AA38" s="89">
        <f t="shared" si="6"/>
        <v>5.5379740732768301E-3</v>
      </c>
      <c r="AB38" s="89"/>
      <c r="AC38" s="248" t="s">
        <v>483</v>
      </c>
      <c r="AD38">
        <v>40.44</v>
      </c>
      <c r="AE38">
        <v>27.97</v>
      </c>
      <c r="AF38">
        <v>30.26</v>
      </c>
      <c r="AG38" s="89">
        <f t="shared" si="27"/>
        <v>1.4755197853789426E-2</v>
      </c>
      <c r="AH38" s="89">
        <f t="shared" si="7"/>
        <v>1.5095605501509679E-2</v>
      </c>
      <c r="AJ38" s="248" t="s">
        <v>483</v>
      </c>
      <c r="AK38">
        <v>35.47</v>
      </c>
      <c r="AL38" s="89">
        <f t="shared" si="28"/>
        <v>1.6623674405273681E-2</v>
      </c>
      <c r="AM38" s="89">
        <f t="shared" si="8"/>
        <v>2.8272547356518185E-3</v>
      </c>
      <c r="AN38" s="89"/>
      <c r="AO38" s="248" t="s">
        <v>483</v>
      </c>
      <c r="AP38" s="351">
        <v>29.41</v>
      </c>
      <c r="AQ38" s="89">
        <f t="shared" si="29"/>
        <v>2.1535255296978084E-2</v>
      </c>
      <c r="AR38" s="89">
        <f t="shared" si="9"/>
        <v>3.411804844762889E-3</v>
      </c>
      <c r="AT38" s="248" t="s">
        <v>483</v>
      </c>
      <c r="AU38" s="95">
        <v>191541000</v>
      </c>
      <c r="AV38" s="89">
        <f t="shared" si="53"/>
        <v>5.1439230214804565E-2</v>
      </c>
      <c r="AX38" s="248" t="s">
        <v>483</v>
      </c>
      <c r="AY38" s="95">
        <v>6329300</v>
      </c>
      <c r="AZ38" s="89">
        <f t="shared" si="54"/>
        <v>3.6112429813217162E-2</v>
      </c>
      <c r="BA38" s="89">
        <f t="shared" si="55"/>
        <v>3.6168925509628691E-2</v>
      </c>
      <c r="BC38" s="248" t="s">
        <v>483</v>
      </c>
      <c r="BD38">
        <v>1102</v>
      </c>
      <c r="BE38">
        <v>1102</v>
      </c>
      <c r="BF38" t="s">
        <v>634</v>
      </c>
      <c r="BG38" s="118">
        <f t="shared" si="58"/>
        <v>1.2867647058823595E-2</v>
      </c>
      <c r="BH38" s="118">
        <f t="shared" si="58"/>
        <v>1.2867647058823595E-2</v>
      </c>
      <c r="BI38" s="118"/>
      <c r="BJ38" s="118">
        <f t="shared" si="39"/>
        <v>5.4744525547445466E-3</v>
      </c>
      <c r="BK38" s="350">
        <v>42339</v>
      </c>
      <c r="BL38" s="352">
        <v>14.75</v>
      </c>
      <c r="BM38" s="118">
        <f t="shared" si="32"/>
        <v>3.5087719298245723E-2</v>
      </c>
      <c r="BP38" s="350">
        <v>42339</v>
      </c>
      <c r="BQ38" s="352">
        <f t="shared" si="2"/>
        <v>31.772393783655627</v>
      </c>
      <c r="BR38" s="352">
        <f t="shared" si="3"/>
        <v>37.242789408667051</v>
      </c>
      <c r="BS38" s="352">
        <f t="shared" si="4"/>
        <v>30.879910812204624</v>
      </c>
      <c r="BV38" s="248" t="s">
        <v>483</v>
      </c>
      <c r="BW38">
        <v>1074</v>
      </c>
      <c r="BX38">
        <v>1095</v>
      </c>
      <c r="BY38">
        <v>1098</v>
      </c>
      <c r="BZ38" s="118">
        <f t="shared" si="56"/>
        <v>8.4507042253521014E-3</v>
      </c>
      <c r="CA38" s="118">
        <f t="shared" si="56"/>
        <v>1.388888888888884E-2</v>
      </c>
      <c r="CB38" s="118">
        <f t="shared" si="56"/>
        <v>1.1981566820276512E-2</v>
      </c>
      <c r="CC38" s="255"/>
      <c r="CD38" s="248" t="s">
        <v>483</v>
      </c>
      <c r="CE38">
        <v>1110</v>
      </c>
      <c r="CF38" s="118">
        <f t="shared" si="41"/>
        <v>1.2773722627737127E-2</v>
      </c>
      <c r="CG38" s="118">
        <f t="shared" si="37"/>
        <v>4.5248868778280382E-3</v>
      </c>
      <c r="CH38">
        <v>1123</v>
      </c>
      <c r="CI38" s="118">
        <f t="shared" si="20"/>
        <v>1.6289592760180938E-2</v>
      </c>
      <c r="CJ38" s="118">
        <f t="shared" si="38"/>
        <v>4.472271914132353E-3</v>
      </c>
      <c r="CK38" s="255"/>
      <c r="CL38" s="248" t="s">
        <v>483</v>
      </c>
      <c r="CM38">
        <v>1075</v>
      </c>
      <c r="CN38">
        <v>1102</v>
      </c>
      <c r="CO38">
        <v>1095</v>
      </c>
      <c r="CQ38" s="248" t="s">
        <v>392</v>
      </c>
      <c r="CR38">
        <v>1358</v>
      </c>
      <c r="CS38" t="s">
        <v>634</v>
      </c>
      <c r="CT38" t="s">
        <v>634</v>
      </c>
      <c r="CU38" t="s">
        <v>634</v>
      </c>
      <c r="CW38" s="248" t="s">
        <v>639</v>
      </c>
      <c r="CX38">
        <v>803.858521</v>
      </c>
      <c r="CY38">
        <v>803.858521</v>
      </c>
      <c r="CZ38">
        <v>800</v>
      </c>
      <c r="DB38" s="350">
        <v>40148</v>
      </c>
      <c r="DC38" s="88">
        <f t="shared" si="59"/>
        <v>1357.7729999999999</v>
      </c>
      <c r="DD38" s="88">
        <f t="shared" si="57"/>
        <v>1255.1959999999999</v>
      </c>
      <c r="DE38" s="89">
        <f t="shared" si="33"/>
        <v>3.3312785388127875E-2</v>
      </c>
      <c r="DF38" s="89">
        <f t="shared" si="33"/>
        <v>1.8001622060016098E-2</v>
      </c>
      <c r="DG38" s="89"/>
      <c r="DH38" s="248" t="s">
        <v>698</v>
      </c>
      <c r="DI38">
        <v>19.61</v>
      </c>
      <c r="DJ38">
        <v>15.83</v>
      </c>
      <c r="DK38">
        <v>16.63</v>
      </c>
      <c r="DM38" s="353">
        <v>35674</v>
      </c>
      <c r="DN38">
        <v>17.34</v>
      </c>
      <c r="DO38">
        <v>16.63</v>
      </c>
      <c r="DP38" s="365">
        <f t="shared" si="24"/>
        <v>4.6469523234761612E-2</v>
      </c>
      <c r="DQ38" s="365">
        <f t="shared" si="24"/>
        <v>3.7429819089207506E-2</v>
      </c>
      <c r="DR38" s="365">
        <f t="shared" si="51"/>
        <v>3.7660517296150386E-2</v>
      </c>
      <c r="DS38" s="365">
        <f t="shared" si="51"/>
        <v>3.840443981104591E-2</v>
      </c>
      <c r="DU38" s="367">
        <v>38139</v>
      </c>
      <c r="DV38" s="368">
        <v>82.8</v>
      </c>
      <c r="DW38" s="368">
        <v>82.9</v>
      </c>
      <c r="DX38" s="369">
        <v>82.6</v>
      </c>
      <c r="DY38" s="367">
        <v>20241</v>
      </c>
      <c r="DZ38" s="368">
        <v>6.6</v>
      </c>
      <c r="EC38" s="350">
        <v>43070</v>
      </c>
      <c r="ED38">
        <f t="shared" si="17"/>
        <v>1016.7056393240556</v>
      </c>
      <c r="EE38">
        <f t="shared" si="11"/>
        <v>986.02917606858853</v>
      </c>
      <c r="EF38">
        <f t="shared" si="12"/>
        <v>1068.0789636919844</v>
      </c>
      <c r="EG38">
        <f t="shared" si="13"/>
        <v>1070.8787546023023</v>
      </c>
      <c r="EJ38" s="248" t="s">
        <v>700</v>
      </c>
      <c r="EK38" s="95">
        <v>59482600</v>
      </c>
      <c r="EL38" s="95">
        <v>691890700</v>
      </c>
      <c r="EN38" s="248" t="s">
        <v>700</v>
      </c>
      <c r="EO38" s="95">
        <v>3423500</v>
      </c>
      <c r="EP38" s="95">
        <v>41446600</v>
      </c>
      <c r="ER38" s="352">
        <f t="shared" si="14"/>
        <v>17.374791879655323</v>
      </c>
      <c r="ES38" s="352">
        <f t="shared" si="14"/>
        <v>16.693545429540663</v>
      </c>
      <c r="ET38" s="89">
        <f t="shared" si="48"/>
        <v>3.5781797246315694E-2</v>
      </c>
      <c r="EU38" s="89">
        <f t="shared" si="48"/>
        <v>3.1143802876888671E-2</v>
      </c>
      <c r="EV38" s="350">
        <v>35765</v>
      </c>
      <c r="EW38" s="352">
        <f t="shared" si="47"/>
        <v>17.211818067466279</v>
      </c>
      <c r="EX38" s="352">
        <f t="shared" si="47"/>
        <v>16.558020082956666</v>
      </c>
      <c r="EY38" s="89">
        <f t="shared" si="52"/>
        <v>3.9914168567064756E-2</v>
      </c>
      <c r="EZ38" s="89">
        <f t="shared" si="52"/>
        <v>3.6720772788265466E-2</v>
      </c>
    </row>
    <row r="39" spans="1:156" ht="15" customHeight="1">
      <c r="A39" s="350">
        <v>42430</v>
      </c>
      <c r="B39" s="248" t="s">
        <v>493</v>
      </c>
      <c r="C39">
        <v>1053</v>
      </c>
      <c r="D39" s="89">
        <f t="shared" si="50"/>
        <v>5.7306590257879542E-3</v>
      </c>
      <c r="F39" s="248" t="s">
        <v>493</v>
      </c>
      <c r="G39">
        <v>1031</v>
      </c>
      <c r="H39" s="89">
        <f t="shared" si="22"/>
        <v>6.8359375E-3</v>
      </c>
      <c r="I39">
        <v>1063</v>
      </c>
      <c r="J39" s="89">
        <f t="shared" si="22"/>
        <v>2.8301886792452269E-3</v>
      </c>
      <c r="K39">
        <v>1070</v>
      </c>
      <c r="L39" s="89">
        <f t="shared" si="22"/>
        <v>7.532956685499137E-3</v>
      </c>
      <c r="M39" s="197"/>
      <c r="N39" s="248" t="s">
        <v>493</v>
      </c>
      <c r="O39">
        <v>978.792822</v>
      </c>
      <c r="P39" s="89">
        <f t="shared" si="45"/>
        <v>4.1840999805604628E-3</v>
      </c>
      <c r="Q39" s="89">
        <f t="shared" si="15"/>
        <v>1.6694487025230575E-3</v>
      </c>
      <c r="R39" s="88">
        <f t="shared" si="43"/>
        <v>959.66461047813073</v>
      </c>
      <c r="S39" s="89">
        <f t="shared" si="46"/>
        <v>4.1840999805604628E-3</v>
      </c>
      <c r="T39" s="89">
        <f t="shared" si="5"/>
        <v>1.6694487025230575E-3</v>
      </c>
      <c r="U39" s="89"/>
      <c r="V39" s="248" t="s">
        <v>493</v>
      </c>
      <c r="W39">
        <v>971.69089499999995</v>
      </c>
      <c r="X39" s="89">
        <f t="shared" si="23"/>
        <v>7.8802212548922945E-4</v>
      </c>
      <c r="Y39" s="88">
        <f t="shared" si="44"/>
        <v>953.07176992073482</v>
      </c>
      <c r="Z39" s="89">
        <f t="shared" si="19"/>
        <v>7.8802212548922945E-4</v>
      </c>
      <c r="AA39" s="89">
        <f t="shared" si="6"/>
        <v>-7.8678212204907894E-4</v>
      </c>
      <c r="AB39" s="89"/>
      <c r="AC39" s="248" t="s">
        <v>493</v>
      </c>
      <c r="AD39">
        <v>40.270000000000003</v>
      </c>
      <c r="AE39">
        <v>28.08</v>
      </c>
      <c r="AF39">
        <v>30.35</v>
      </c>
      <c r="AG39" s="89">
        <f t="shared" si="27"/>
        <v>1.7773306505700859E-2</v>
      </c>
      <c r="AH39" s="89">
        <f t="shared" si="7"/>
        <v>2.974223397224085E-3</v>
      </c>
      <c r="AJ39" s="248" t="s">
        <v>493</v>
      </c>
      <c r="AK39">
        <v>35.619999999999997</v>
      </c>
      <c r="AL39" s="89">
        <f t="shared" si="28"/>
        <v>2.5331030512377506E-2</v>
      </c>
      <c r="AM39" s="89">
        <f t="shared" si="8"/>
        <v>4.2289258528334095E-3</v>
      </c>
      <c r="AO39" s="248" t="s">
        <v>493</v>
      </c>
      <c r="AP39" s="351">
        <v>29.48</v>
      </c>
      <c r="AQ39" s="118">
        <f t="shared" si="29"/>
        <v>2.4322446143155041E-2</v>
      </c>
      <c r="AR39" s="118">
        <f t="shared" si="9"/>
        <v>2.380142808568575E-3</v>
      </c>
      <c r="AT39" s="248" t="s">
        <v>493</v>
      </c>
      <c r="AU39" s="95">
        <v>197211700</v>
      </c>
      <c r="AV39" s="89">
        <f t="shared" si="53"/>
        <v>6.8418617552664651E-2</v>
      </c>
      <c r="AX39" s="248" t="s">
        <v>493</v>
      </c>
      <c r="AY39" s="95">
        <v>6497700</v>
      </c>
      <c r="AZ39" s="89">
        <f t="shared" si="54"/>
        <v>4.9895781156586771E-2</v>
      </c>
      <c r="BA39" s="89">
        <f t="shared" si="55"/>
        <v>4.1867329501320549E-2</v>
      </c>
      <c r="BC39" s="248" t="s">
        <v>493</v>
      </c>
      <c r="BD39">
        <v>1107</v>
      </c>
      <c r="BE39">
        <v>1106</v>
      </c>
      <c r="BF39" t="s">
        <v>634</v>
      </c>
      <c r="BG39" s="118">
        <f t="shared" si="58"/>
        <v>1.5596330275229331E-2</v>
      </c>
      <c r="BH39" s="118">
        <f t="shared" si="58"/>
        <v>1.4678899082568808E-2</v>
      </c>
      <c r="BI39" s="118"/>
      <c r="BJ39" s="118">
        <f t="shared" si="39"/>
        <v>4.5372050816696596E-3</v>
      </c>
      <c r="BK39" s="350">
        <v>42430</v>
      </c>
      <c r="BL39" s="352">
        <v>14.75</v>
      </c>
      <c r="BM39" s="118">
        <f t="shared" si="32"/>
        <v>3.5087719298245723E-2</v>
      </c>
      <c r="BP39" s="350">
        <v>42430</v>
      </c>
      <c r="BQ39" s="352">
        <f t="shared" si="2"/>
        <v>31.813780506044619</v>
      </c>
      <c r="BR39" s="352">
        <f t="shared" si="3"/>
        <v>37.337952607094209</v>
      </c>
      <c r="BS39" s="352">
        <f t="shared" si="4"/>
        <v>30.901820405871344</v>
      </c>
      <c r="BV39" s="248" t="s">
        <v>493</v>
      </c>
      <c r="BW39">
        <v>1079</v>
      </c>
      <c r="BX39">
        <v>1099</v>
      </c>
      <c r="BY39">
        <v>1102</v>
      </c>
      <c r="BZ39" s="118">
        <f t="shared" si="56"/>
        <v>1.1246485473289658E-2</v>
      </c>
      <c r="CA39" s="118">
        <f t="shared" si="56"/>
        <v>1.7592592592592604E-2</v>
      </c>
      <c r="CB39" s="118">
        <f t="shared" si="56"/>
        <v>1.2867647058823595E-2</v>
      </c>
      <c r="CC39" s="255"/>
      <c r="CD39" s="248" t="s">
        <v>493</v>
      </c>
      <c r="CE39" s="370">
        <v>1114</v>
      </c>
      <c r="CF39" s="118">
        <f t="shared" si="41"/>
        <v>1.364877161055511E-2</v>
      </c>
      <c r="CG39" s="118">
        <f t="shared" si="37"/>
        <v>3.6036036036035668E-3</v>
      </c>
      <c r="CH39" s="370">
        <v>1128</v>
      </c>
      <c r="CI39" s="118">
        <f t="shared" si="20"/>
        <v>1.8050541516245522E-2</v>
      </c>
      <c r="CJ39" s="118">
        <f t="shared" si="38"/>
        <v>4.4523597506678225E-3</v>
      </c>
      <c r="CK39" s="255"/>
      <c r="CL39" s="248" t="s">
        <v>493</v>
      </c>
      <c r="CM39" s="370">
        <v>1079</v>
      </c>
      <c r="CN39" s="370">
        <v>1107</v>
      </c>
      <c r="CO39" s="370">
        <v>1099</v>
      </c>
      <c r="CQ39" s="248" t="s">
        <v>396</v>
      </c>
      <c r="CR39">
        <v>1363</v>
      </c>
      <c r="CS39" t="s">
        <v>634</v>
      </c>
      <c r="CT39" t="s">
        <v>634</v>
      </c>
      <c r="CU39" t="s">
        <v>634</v>
      </c>
      <c r="CW39" s="248" t="s">
        <v>643</v>
      </c>
      <c r="CX39">
        <v>808.04528400000004</v>
      </c>
      <c r="CY39">
        <v>808.75583099999994</v>
      </c>
      <c r="CZ39" t="s">
        <v>634</v>
      </c>
      <c r="DB39" s="350">
        <v>40238</v>
      </c>
      <c r="DC39" s="88">
        <f t="shared" si="59"/>
        <v>1363.145</v>
      </c>
      <c r="DD39" s="88">
        <f t="shared" si="57"/>
        <v>1258.9280000000001</v>
      </c>
      <c r="DE39" s="89">
        <f t="shared" si="33"/>
        <v>2.5692249811888557E-2</v>
      </c>
      <c r="DF39" s="89">
        <f t="shared" si="33"/>
        <v>1.5264516129032346E-2</v>
      </c>
      <c r="DG39" s="89"/>
      <c r="DH39" s="248" t="s">
        <v>700</v>
      </c>
      <c r="DI39">
        <v>19.690000000000001</v>
      </c>
      <c r="DJ39">
        <v>15.9</v>
      </c>
      <c r="DK39">
        <v>16.690000000000001</v>
      </c>
      <c r="DM39" s="353">
        <v>35765</v>
      </c>
      <c r="DN39">
        <v>17.37</v>
      </c>
      <c r="DO39">
        <v>16.690000000000001</v>
      </c>
      <c r="DP39" s="365">
        <f t="shared" si="24"/>
        <v>3.5778175313059046E-2</v>
      </c>
      <c r="DQ39" s="365">
        <f t="shared" si="24"/>
        <v>3.0883261272390383E-2</v>
      </c>
      <c r="DR39" s="365">
        <f t="shared" si="51"/>
        <v>3.9884875626480021E-2</v>
      </c>
      <c r="DS39" s="365">
        <f t="shared" si="51"/>
        <v>3.6664784289065278E-2</v>
      </c>
      <c r="DU39" s="367">
        <v>38231</v>
      </c>
      <c r="DV39" s="368">
        <v>83.6</v>
      </c>
      <c r="DW39" s="368">
        <v>84</v>
      </c>
      <c r="DX39" s="369">
        <v>83.1</v>
      </c>
      <c r="DY39" s="367">
        <v>20333</v>
      </c>
      <c r="DZ39" s="368">
        <v>6.6</v>
      </c>
      <c r="EC39" s="350">
        <v>43160</v>
      </c>
      <c r="ED39">
        <f t="shared" si="17"/>
        <v>1014.2938286478734</v>
      </c>
      <c r="EE39">
        <f t="shared" si="11"/>
        <v>982.89694315232441</v>
      </c>
      <c r="EF39">
        <f t="shared" si="12"/>
        <v>1068.2325678636246</v>
      </c>
      <c r="EG39">
        <f t="shared" si="13"/>
        <v>1069.3813462290404</v>
      </c>
      <c r="EJ39" s="248" t="s">
        <v>702</v>
      </c>
      <c r="EK39" s="95">
        <v>57318000</v>
      </c>
      <c r="EL39" s="95">
        <v>681708800</v>
      </c>
      <c r="EN39" s="248" t="s">
        <v>702</v>
      </c>
      <c r="EO39" s="95">
        <v>3279100</v>
      </c>
      <c r="EP39" s="95">
        <v>40602400</v>
      </c>
      <c r="ER39" s="352">
        <f t="shared" si="14"/>
        <v>17.479796285566163</v>
      </c>
      <c r="ES39" s="352">
        <f t="shared" si="14"/>
        <v>16.789864638543534</v>
      </c>
      <c r="ET39" s="89">
        <f t="shared" si="48"/>
        <v>2.6033080529029862E-2</v>
      </c>
      <c r="EU39" s="89">
        <f t="shared" si="48"/>
        <v>2.4569396692655898E-2</v>
      </c>
      <c r="EV39" s="350">
        <v>35855</v>
      </c>
      <c r="EW39" s="352">
        <f t="shared" ref="EW39:EX54" si="60">SUM(EK36:EK39)/SUM(EO36:EO39)</f>
        <v>17.318277953411595</v>
      </c>
      <c r="EX39" s="352">
        <f t="shared" si="60"/>
        <v>16.657151031353589</v>
      </c>
      <c r="EY39" s="89">
        <f t="shared" si="52"/>
        <v>3.6530271558326E-2</v>
      </c>
      <c r="EZ39" s="89">
        <f t="shared" si="52"/>
        <v>3.2227154333990926E-2</v>
      </c>
    </row>
    <row r="40" spans="1:156" ht="15" customHeight="1">
      <c r="A40" s="360">
        <v>42522</v>
      </c>
      <c r="B40" s="361" t="s">
        <v>499</v>
      </c>
      <c r="C40" s="362">
        <v>1056</v>
      </c>
      <c r="D40" s="363">
        <f t="shared" si="50"/>
        <v>5.7142857142857828E-3</v>
      </c>
      <c r="F40" s="248" t="s">
        <v>499</v>
      </c>
      <c r="G40">
        <v>1032</v>
      </c>
      <c r="H40" s="363">
        <f t="shared" si="22"/>
        <v>5.8479532163742132E-3</v>
      </c>
      <c r="I40">
        <v>1067</v>
      </c>
      <c r="J40" s="363">
        <f t="shared" si="22"/>
        <v>3.7629350893697566E-3</v>
      </c>
      <c r="K40">
        <v>1080</v>
      </c>
      <c r="L40" s="363">
        <f t="shared" si="22"/>
        <v>8.4033613445377853E-3</v>
      </c>
      <c r="M40" s="197"/>
      <c r="N40" s="248" t="s">
        <v>499</v>
      </c>
      <c r="O40">
        <v>982.871126</v>
      </c>
      <c r="P40" s="363">
        <f t="shared" si="45"/>
        <v>4.1666672541249561E-3</v>
      </c>
      <c r="Q40" s="363">
        <f t="shared" si="15"/>
        <v>4.1666672541249561E-3</v>
      </c>
      <c r="R40" s="88">
        <f t="shared" si="43"/>
        <v>963.66321358555251</v>
      </c>
      <c r="S40" s="363">
        <f t="shared" si="46"/>
        <v>4.166667254124734E-3</v>
      </c>
      <c r="T40" s="89">
        <f t="shared" si="5"/>
        <v>4.1666672541249561E-3</v>
      </c>
      <c r="U40" s="89"/>
      <c r="V40" s="248" t="s">
        <v>499</v>
      </c>
      <c r="W40">
        <v>973.22111700000005</v>
      </c>
      <c r="X40" s="363">
        <f t="shared" si="23"/>
        <v>0</v>
      </c>
      <c r="Y40" s="88">
        <f t="shared" si="44"/>
        <v>954.57267046165396</v>
      </c>
      <c r="Z40" s="363">
        <f t="shared" si="19"/>
        <v>0</v>
      </c>
      <c r="AA40" s="89">
        <f t="shared" si="6"/>
        <v>1.5748032711575544E-3</v>
      </c>
      <c r="AB40" s="89"/>
      <c r="AC40" s="248" t="s">
        <v>499</v>
      </c>
      <c r="AD40">
        <v>39.5</v>
      </c>
      <c r="AE40">
        <v>27.86</v>
      </c>
      <c r="AF40">
        <v>30.04</v>
      </c>
      <c r="AG40" s="363">
        <f t="shared" si="27"/>
        <v>6.7024128686326012E-3</v>
      </c>
      <c r="AH40" s="363">
        <f t="shared" si="7"/>
        <v>-1.0214168039538785E-2</v>
      </c>
      <c r="AJ40" s="248" t="s">
        <v>499</v>
      </c>
      <c r="AK40">
        <v>35.880000000000003</v>
      </c>
      <c r="AL40" s="363">
        <f t="shared" si="28"/>
        <v>2.4850042844901665E-2</v>
      </c>
      <c r="AM40" s="363">
        <f t="shared" si="8"/>
        <v>7.2992700729928028E-3</v>
      </c>
      <c r="AO40" s="248" t="s">
        <v>499</v>
      </c>
      <c r="AP40" s="351">
        <v>29.67</v>
      </c>
      <c r="AQ40" s="363">
        <f t="shared" si="29"/>
        <v>2.1694214876033069E-2</v>
      </c>
      <c r="AR40" s="363">
        <f t="shared" si="9"/>
        <v>6.4450474898236632E-3</v>
      </c>
      <c r="AT40" s="248" t="s">
        <v>499</v>
      </c>
      <c r="AU40" s="95">
        <v>196740600</v>
      </c>
      <c r="AV40" s="363">
        <f t="shared" si="53"/>
        <v>4.0807970086781387E-2</v>
      </c>
      <c r="AX40" s="248" t="s">
        <v>499</v>
      </c>
      <c r="AY40" s="95">
        <v>6549700</v>
      </c>
      <c r="AZ40" s="363">
        <f t="shared" si="54"/>
        <v>3.4119616016167642E-2</v>
      </c>
      <c r="BA40" s="363">
        <f t="shared" si="55"/>
        <v>3.9470331528135505E-2</v>
      </c>
      <c r="BC40" s="248" t="s">
        <v>499</v>
      </c>
      <c r="BD40">
        <v>1109</v>
      </c>
      <c r="BE40">
        <v>1109</v>
      </c>
      <c r="BF40" t="s">
        <v>634</v>
      </c>
      <c r="BG40" s="363">
        <f t="shared" si="58"/>
        <v>1.4638609332113361E-2</v>
      </c>
      <c r="BH40" s="363">
        <f t="shared" si="58"/>
        <v>1.4638609332113361E-2</v>
      </c>
      <c r="BI40" s="118"/>
      <c r="BJ40" s="118">
        <f t="shared" si="39"/>
        <v>1.8066847335140857E-3</v>
      </c>
      <c r="BK40" s="360">
        <v>42522</v>
      </c>
      <c r="BL40" s="364">
        <v>15.25</v>
      </c>
      <c r="BM40" s="363">
        <f t="shared" si="32"/>
        <v>3.3898305084745672E-2</v>
      </c>
      <c r="BP40" s="350">
        <v>42522</v>
      </c>
      <c r="BQ40" s="352">
        <f t="shared" si="2"/>
        <v>31.358170145289222</v>
      </c>
      <c r="BR40" s="352">
        <f t="shared" si="3"/>
        <v>37.454432250764896</v>
      </c>
      <c r="BS40" s="352">
        <f t="shared" si="4"/>
        <v>30.971934361209428</v>
      </c>
      <c r="BV40" s="248" t="s">
        <v>499</v>
      </c>
      <c r="BW40">
        <v>1080</v>
      </c>
      <c r="BX40">
        <v>1100</v>
      </c>
      <c r="BY40">
        <v>1104</v>
      </c>
      <c r="BZ40" s="363">
        <f t="shared" si="56"/>
        <v>1.1235955056179803E-2</v>
      </c>
      <c r="CA40" s="363">
        <f t="shared" si="56"/>
        <v>1.6635859519408491E-2</v>
      </c>
      <c r="CB40" s="363">
        <f t="shared" si="56"/>
        <v>1.2844036697247763E-2</v>
      </c>
      <c r="CC40" s="255"/>
      <c r="CD40" s="248" t="s">
        <v>499</v>
      </c>
      <c r="CE40" s="370">
        <v>1118</v>
      </c>
      <c r="CF40" s="363">
        <f t="shared" si="41"/>
        <v>1.3599274705349051E-2</v>
      </c>
      <c r="CG40" s="363">
        <f t="shared" si="37"/>
        <v>3.5906642728904536E-3</v>
      </c>
      <c r="CH40" s="370">
        <v>1132</v>
      </c>
      <c r="CI40" s="363">
        <f t="shared" si="20"/>
        <v>1.6157989228007263E-2</v>
      </c>
      <c r="CJ40" s="363">
        <f t="shared" si="38"/>
        <v>3.5460992907800915E-3</v>
      </c>
      <c r="CK40" s="255"/>
      <c r="CL40" s="248" t="s">
        <v>499</v>
      </c>
      <c r="CM40" s="370">
        <v>1080</v>
      </c>
      <c r="CN40" s="370">
        <v>1109</v>
      </c>
      <c r="CO40" s="370">
        <v>1100</v>
      </c>
      <c r="CQ40" s="248" t="s">
        <v>400</v>
      </c>
      <c r="CR40">
        <v>1367</v>
      </c>
      <c r="CS40">
        <v>1377</v>
      </c>
      <c r="CT40" t="s">
        <v>634</v>
      </c>
      <c r="CU40" t="s">
        <v>634</v>
      </c>
      <c r="CW40" s="248" t="s">
        <v>647</v>
      </c>
      <c r="CX40">
        <v>812.92984100000001</v>
      </c>
      <c r="CY40">
        <v>812.95352600000001</v>
      </c>
      <c r="CZ40" t="s">
        <v>634</v>
      </c>
      <c r="DB40" s="350">
        <v>40330</v>
      </c>
      <c r="DC40" s="88">
        <f t="shared" si="59"/>
        <v>1367.174</v>
      </c>
      <c r="DD40" s="88">
        <f t="shared" si="57"/>
        <v>1263.904</v>
      </c>
      <c r="DE40" s="89">
        <f t="shared" si="33"/>
        <v>1.8000000000000016E-2</v>
      </c>
      <c r="DF40" s="89">
        <f t="shared" si="33"/>
        <v>1.6000000000000014E-2</v>
      </c>
      <c r="DG40" s="89">
        <f>CA16</f>
        <v>1.8000000000000016E-2</v>
      </c>
      <c r="DH40" s="248" t="s">
        <v>702</v>
      </c>
      <c r="DI40">
        <v>19.84</v>
      </c>
      <c r="DJ40">
        <v>15.99</v>
      </c>
      <c r="DK40">
        <v>16.79</v>
      </c>
      <c r="DM40" s="353">
        <v>35855</v>
      </c>
      <c r="DN40">
        <v>17.48</v>
      </c>
      <c r="DO40">
        <v>16.79</v>
      </c>
      <c r="DP40" s="365">
        <f t="shared" ref="DP40:DQ65" si="61">DN40/DN36-1</f>
        <v>2.5821596244131495E-2</v>
      </c>
      <c r="DQ40" s="365">
        <f t="shared" si="61"/>
        <v>2.4405125076266021E-2</v>
      </c>
      <c r="DR40" s="365">
        <f t="shared" si="51"/>
        <v>3.6565584729111089E-2</v>
      </c>
      <c r="DS40" s="365">
        <f t="shared" si="51"/>
        <v>3.2106892673804177E-2</v>
      </c>
      <c r="DT40" s="371"/>
      <c r="DU40" s="367">
        <v>38322</v>
      </c>
      <c r="DV40" s="368">
        <v>84.5</v>
      </c>
      <c r="DW40" s="368">
        <v>85.1</v>
      </c>
      <c r="DX40" s="369">
        <v>83.8</v>
      </c>
      <c r="DY40" s="367">
        <v>20424</v>
      </c>
      <c r="DZ40" s="368">
        <v>6.7</v>
      </c>
      <c r="EC40" s="350">
        <v>43252</v>
      </c>
      <c r="ED40">
        <f t="shared" si="17"/>
        <v>1012.0340090295566</v>
      </c>
      <c r="EE40">
        <f t="shared" si="11"/>
        <v>980.76085510246298</v>
      </c>
      <c r="EF40">
        <f t="shared" si="12"/>
        <v>1068.5171082692157</v>
      </c>
      <c r="EG40">
        <f t="shared" si="13"/>
        <v>1070.4653661690065</v>
      </c>
      <c r="EJ40" s="248" t="s">
        <v>704</v>
      </c>
      <c r="EK40" s="95">
        <v>59205500</v>
      </c>
      <c r="EL40" s="95">
        <v>695149200</v>
      </c>
      <c r="EN40" s="248" t="s">
        <v>704</v>
      </c>
      <c r="EO40" s="95">
        <v>3384800</v>
      </c>
      <c r="EP40" s="95">
        <v>40942000</v>
      </c>
      <c r="ER40" s="352">
        <f t="shared" si="14"/>
        <v>17.491580004727016</v>
      </c>
      <c r="ES40" s="352">
        <f t="shared" si="14"/>
        <v>16.978877436373406</v>
      </c>
      <c r="ET40" s="89">
        <f t="shared" ref="ET40:EU55" si="62">ER40/ER36-1</f>
        <v>2.389766415666128E-2</v>
      </c>
      <c r="EU40" s="89">
        <f t="shared" si="62"/>
        <v>2.8335401099817137E-2</v>
      </c>
      <c r="EV40" s="350">
        <v>35947</v>
      </c>
      <c r="EW40" s="352">
        <f t="shared" si="60"/>
        <v>17.419292944886752</v>
      </c>
      <c r="EX40" s="352">
        <f t="shared" si="60"/>
        <v>16.774066611832069</v>
      </c>
      <c r="EY40" s="89">
        <f t="shared" si="52"/>
        <v>3.2848606231494326E-2</v>
      </c>
      <c r="EZ40" s="89">
        <f t="shared" si="52"/>
        <v>3.0375509713970406E-2</v>
      </c>
    </row>
    <row r="41" spans="1:156" ht="15" customHeight="1">
      <c r="A41" s="350">
        <v>42614</v>
      </c>
      <c r="B41" s="248" t="s">
        <v>502</v>
      </c>
      <c r="C41">
        <v>1062</v>
      </c>
      <c r="D41" s="89">
        <f t="shared" si="50"/>
        <v>8.5470085470085166E-3</v>
      </c>
      <c r="F41" s="248" t="s">
        <v>502</v>
      </c>
      <c r="G41">
        <v>1036</v>
      </c>
      <c r="H41" s="89">
        <f t="shared" si="22"/>
        <v>4.8496605237633439E-3</v>
      </c>
      <c r="I41">
        <v>1073</v>
      </c>
      <c r="J41" s="89">
        <f t="shared" si="22"/>
        <v>1.0357815442561202E-2</v>
      </c>
      <c r="K41">
        <v>1084</v>
      </c>
      <c r="L41" s="89">
        <f t="shared" si="22"/>
        <v>9.3109869646181842E-3</v>
      </c>
      <c r="M41" s="197"/>
      <c r="N41" s="248" t="s">
        <v>502</v>
      </c>
      <c r="O41">
        <v>986.13376800000003</v>
      </c>
      <c r="P41" s="89">
        <f t="shared" si="45"/>
        <v>4.1528234864005587E-3</v>
      </c>
      <c r="Q41" s="89">
        <f t="shared" si="15"/>
        <v>3.3195013198505929E-3</v>
      </c>
      <c r="R41" s="88">
        <f t="shared" si="43"/>
        <v>966.86209489494115</v>
      </c>
      <c r="S41" s="89">
        <f t="shared" si="46"/>
        <v>4.1528234864003366E-3</v>
      </c>
      <c r="T41" s="89">
        <f t="shared" si="5"/>
        <v>3.3195013198505929E-3</v>
      </c>
      <c r="U41" s="89"/>
      <c r="V41" s="248" t="s">
        <v>502</v>
      </c>
      <c r="W41">
        <v>985.46289200000001</v>
      </c>
      <c r="X41" s="89">
        <f t="shared" si="23"/>
        <v>1.898734115697609E-2</v>
      </c>
      <c r="Y41" s="88">
        <f t="shared" si="44"/>
        <v>966.57987380816814</v>
      </c>
      <c r="Z41" s="89">
        <f t="shared" si="19"/>
        <v>1.898734115697609E-2</v>
      </c>
      <c r="AA41" s="89">
        <f t="shared" si="6"/>
        <v>1.2578616294040001E-2</v>
      </c>
      <c r="AB41" s="89"/>
      <c r="AC41" s="248" t="s">
        <v>502</v>
      </c>
      <c r="AD41">
        <v>39.67</v>
      </c>
      <c r="AE41">
        <v>28.04</v>
      </c>
      <c r="AF41">
        <v>30.21</v>
      </c>
      <c r="AG41" s="89">
        <f t="shared" si="27"/>
        <v>1.3418316001341912E-2</v>
      </c>
      <c r="AH41" s="89">
        <f t="shared" si="7"/>
        <v>5.65912117177092E-3</v>
      </c>
      <c r="AJ41" s="248" t="s">
        <v>502</v>
      </c>
      <c r="AK41">
        <v>36.53</v>
      </c>
      <c r="AL41" s="89">
        <f t="shared" si="28"/>
        <v>3.2796154933559585E-2</v>
      </c>
      <c r="AM41" s="89">
        <f t="shared" si="8"/>
        <v>1.8115942028985366E-2</v>
      </c>
      <c r="AO41" s="248" t="s">
        <v>502</v>
      </c>
      <c r="AP41" s="351">
        <v>29.84</v>
      </c>
      <c r="AQ41" s="118">
        <f t="shared" si="29"/>
        <v>1.8082565677243201E-2</v>
      </c>
      <c r="AR41" s="118">
        <f t="shared" si="9"/>
        <v>5.7296932928883049E-3</v>
      </c>
      <c r="AT41" s="248" t="s">
        <v>502</v>
      </c>
      <c r="AU41" s="95">
        <v>197074000</v>
      </c>
      <c r="AV41" s="89">
        <f t="shared" si="53"/>
        <v>4.5431059817579778E-2</v>
      </c>
      <c r="AX41" s="248" t="s">
        <v>502</v>
      </c>
      <c r="AY41" s="95">
        <v>6524000</v>
      </c>
      <c r="AZ41" s="89">
        <f t="shared" si="54"/>
        <v>3.1609240840593911E-2</v>
      </c>
      <c r="BA41" s="89">
        <f t="shared" si="55"/>
        <v>3.788373612018292E-2</v>
      </c>
      <c r="BC41" s="248" t="s">
        <v>502</v>
      </c>
      <c r="BD41">
        <v>1116</v>
      </c>
      <c r="BE41">
        <v>1116</v>
      </c>
      <c r="BF41" t="s">
        <v>634</v>
      </c>
      <c r="BG41" s="118">
        <f t="shared" si="58"/>
        <v>1.8248175182481674E-2</v>
      </c>
      <c r="BH41" s="118">
        <f t="shared" si="58"/>
        <v>1.9178082191780854E-2</v>
      </c>
      <c r="BI41" s="118"/>
      <c r="BJ41" s="118">
        <f t="shared" si="39"/>
        <v>6.3119927862940184E-3</v>
      </c>
      <c r="BK41" s="350">
        <v>42614</v>
      </c>
      <c r="BL41" s="352">
        <v>15.25</v>
      </c>
      <c r="BM41" s="118">
        <f t="shared" si="32"/>
        <v>3.3898305084745672E-2</v>
      </c>
      <c r="BP41" s="350">
        <v>42614</v>
      </c>
      <c r="BQ41" s="352">
        <f t="shared" si="2"/>
        <v>31.43129360924592</v>
      </c>
      <c r="BR41" s="352">
        <f t="shared" si="3"/>
        <v>38.006790981322524</v>
      </c>
      <c r="BS41" s="352">
        <f t="shared" si="4"/>
        <v>31.046335693475612</v>
      </c>
      <c r="BV41" s="248" t="s">
        <v>502</v>
      </c>
      <c r="BW41">
        <v>1090</v>
      </c>
      <c r="BX41">
        <v>1109</v>
      </c>
      <c r="BY41">
        <v>1112</v>
      </c>
      <c r="BZ41" s="118">
        <f t="shared" si="56"/>
        <v>1.7740429505135324E-2</v>
      </c>
      <c r="CA41" s="118">
        <f t="shared" si="56"/>
        <v>2.1178637200736539E-2</v>
      </c>
      <c r="CB41" s="118">
        <f t="shared" si="56"/>
        <v>1.7383348581884617E-2</v>
      </c>
      <c r="CC41" s="255"/>
      <c r="CD41" s="248" t="s">
        <v>502</v>
      </c>
      <c r="CE41" s="370">
        <v>1124</v>
      </c>
      <c r="CF41" s="118">
        <f t="shared" si="41"/>
        <v>1.7194570135746545E-2</v>
      </c>
      <c r="CG41" s="118">
        <f t="shared" si="37"/>
        <v>5.3667262969587792E-3</v>
      </c>
      <c r="CH41" s="370">
        <v>1136</v>
      </c>
      <c r="CI41" s="118">
        <f t="shared" si="20"/>
        <v>1.610017889087656E-2</v>
      </c>
      <c r="CJ41" s="118">
        <f t="shared" si="38"/>
        <v>3.5335689045936647E-3</v>
      </c>
      <c r="CK41" s="255"/>
      <c r="CL41" s="248" t="s">
        <v>502</v>
      </c>
      <c r="CM41" s="370">
        <v>1091</v>
      </c>
      <c r="CN41" s="370">
        <v>1116</v>
      </c>
      <c r="CO41" s="370">
        <v>1109</v>
      </c>
      <c r="CQ41" s="278" t="s">
        <v>401</v>
      </c>
      <c r="CR41" s="278"/>
      <c r="CS41" s="278"/>
      <c r="CT41" s="278"/>
      <c r="CU41" s="278"/>
      <c r="CV41" s="371"/>
      <c r="CW41" s="248" t="s">
        <v>650</v>
      </c>
      <c r="CX41">
        <v>816.72025699999995</v>
      </c>
      <c r="CY41">
        <v>816.72025699999995</v>
      </c>
      <c r="CZ41" t="s">
        <v>634</v>
      </c>
      <c r="DB41" s="350">
        <v>40422</v>
      </c>
      <c r="DC41" s="88">
        <f t="shared" si="59"/>
        <v>1371.203</v>
      </c>
      <c r="DD41" s="88">
        <f t="shared" si="57"/>
        <v>1270.124</v>
      </c>
      <c r="DE41" s="89">
        <f t="shared" si="33"/>
        <v>1.491053677932408E-2</v>
      </c>
      <c r="DF41" s="89">
        <f t="shared" si="33"/>
        <v>1.5920398009950265E-2</v>
      </c>
      <c r="DG41" s="89">
        <f t="shared" ref="DG41:DG63" si="63">CA17</f>
        <v>1.3902681231380276E-2</v>
      </c>
      <c r="DH41" s="248" t="s">
        <v>704</v>
      </c>
      <c r="DI41">
        <v>20.170000000000002</v>
      </c>
      <c r="DJ41">
        <v>16.14</v>
      </c>
      <c r="DK41">
        <v>16.98</v>
      </c>
      <c r="DM41" s="353">
        <v>35947</v>
      </c>
      <c r="DN41">
        <v>17.489999999999998</v>
      </c>
      <c r="DO41">
        <v>16.98</v>
      </c>
      <c r="DP41" s="365">
        <f t="shared" si="61"/>
        <v>2.4004683840749497E-2</v>
      </c>
      <c r="DQ41" s="365">
        <f t="shared" si="61"/>
        <v>2.8467595396729273E-2</v>
      </c>
      <c r="DR41" s="365">
        <f t="shared" si="51"/>
        <v>3.2979684518844365E-2</v>
      </c>
      <c r="DS41" s="365">
        <f t="shared" si="51"/>
        <v>3.0285629985015605E-2</v>
      </c>
      <c r="DT41" s="255"/>
      <c r="DU41" s="367">
        <v>38412</v>
      </c>
      <c r="DV41" s="368">
        <v>85.7</v>
      </c>
      <c r="DW41" s="368">
        <v>85.9</v>
      </c>
      <c r="DX41" s="369">
        <v>85.4</v>
      </c>
      <c r="DY41" s="367">
        <v>20515</v>
      </c>
      <c r="DZ41" s="368">
        <v>6.7</v>
      </c>
      <c r="EC41" s="350">
        <v>43344</v>
      </c>
      <c r="ED41">
        <f t="shared" si="17"/>
        <v>1016.9161976376953</v>
      </c>
      <c r="EE41">
        <f t="shared" si="11"/>
        <v>982.47365072363277</v>
      </c>
      <c r="EF41">
        <f t="shared" si="12"/>
        <v>1078.3827239571758</v>
      </c>
      <c r="EG41">
        <f t="shared" si="13"/>
        <v>1075.4456384186196</v>
      </c>
      <c r="EJ41" s="248" t="s">
        <v>705</v>
      </c>
      <c r="EK41" s="95">
        <v>60858300</v>
      </c>
      <c r="EL41" s="95">
        <v>693133700</v>
      </c>
      <c r="EN41" s="248" t="s">
        <v>705</v>
      </c>
      <c r="EO41" s="95">
        <v>3474200</v>
      </c>
      <c r="EP41" s="95">
        <v>40651000</v>
      </c>
      <c r="ER41" s="352">
        <f t="shared" si="14"/>
        <v>17.517212595705487</v>
      </c>
      <c r="ES41" s="352">
        <f t="shared" si="14"/>
        <v>17.050840077734865</v>
      </c>
      <c r="ET41" s="89">
        <f t="shared" si="62"/>
        <v>1.0418280864666229E-2</v>
      </c>
      <c r="EU41" s="89">
        <f t="shared" si="62"/>
        <v>2.5001265106259885E-2</v>
      </c>
      <c r="EV41" s="350">
        <v>36039</v>
      </c>
      <c r="EW41" s="352">
        <f t="shared" si="60"/>
        <v>17.46581524303917</v>
      </c>
      <c r="EX41" s="352">
        <f t="shared" si="60"/>
        <v>16.877588883049583</v>
      </c>
      <c r="EY41" s="89">
        <f t="shared" si="52"/>
        <v>2.364600613257628E-2</v>
      </c>
      <c r="EZ41" s="89">
        <f t="shared" si="52"/>
        <v>2.7223379448921392E-2</v>
      </c>
    </row>
    <row r="42" spans="1:156" s="255" customFormat="1" ht="15" customHeight="1">
      <c r="A42" s="350">
        <v>42705</v>
      </c>
      <c r="B42" s="248" t="s">
        <v>505</v>
      </c>
      <c r="C42">
        <v>1064</v>
      </c>
      <c r="D42" s="89">
        <f t="shared" si="50"/>
        <v>1.1406844106463865E-2</v>
      </c>
      <c r="E42"/>
      <c r="F42" s="248" t="s">
        <v>505</v>
      </c>
      <c r="G42">
        <v>1038</v>
      </c>
      <c r="H42" s="89">
        <f t="shared" si="22"/>
        <v>5.8139534883721034E-3</v>
      </c>
      <c r="I42">
        <v>1079</v>
      </c>
      <c r="J42" s="89">
        <f t="shared" si="22"/>
        <v>1.6007532956685555E-2</v>
      </c>
      <c r="K42">
        <v>1079</v>
      </c>
      <c r="L42" s="89">
        <f t="shared" si="22"/>
        <v>1.0299625468164875E-2</v>
      </c>
      <c r="M42" s="197"/>
      <c r="N42" s="248" t="s">
        <v>505</v>
      </c>
      <c r="O42">
        <v>990.21207200000003</v>
      </c>
      <c r="P42" s="89">
        <f t="shared" si="45"/>
        <v>1.3355592690301954E-2</v>
      </c>
      <c r="Q42" s="89">
        <f t="shared" si="15"/>
        <v>4.1356498807167963E-3</v>
      </c>
      <c r="R42" s="88">
        <f t="shared" si="43"/>
        <v>970.86069800236305</v>
      </c>
      <c r="S42" s="89">
        <f t="shared" si="46"/>
        <v>1.3355592690301732E-2</v>
      </c>
      <c r="T42" s="89">
        <f t="shared" si="5"/>
        <v>4.1356498807167963E-3</v>
      </c>
      <c r="U42" s="89"/>
      <c r="V42" s="248" t="s">
        <v>505</v>
      </c>
      <c r="W42">
        <v>992.34889099999998</v>
      </c>
      <c r="X42" s="89">
        <f t="shared" si="23"/>
        <v>2.0456334144950405E-2</v>
      </c>
      <c r="Y42" s="88">
        <f t="shared" si="44"/>
        <v>973.33392624230396</v>
      </c>
      <c r="Z42" s="89">
        <f t="shared" si="19"/>
        <v>2.0456334144950405E-2</v>
      </c>
      <c r="AA42" s="89">
        <f t="shared" si="6"/>
        <v>6.9875781786412627E-3</v>
      </c>
      <c r="AB42" s="89"/>
      <c r="AC42" s="248" t="s">
        <v>505</v>
      </c>
      <c r="AD42">
        <v>38.9</v>
      </c>
      <c r="AE42">
        <v>27.86</v>
      </c>
      <c r="AF42">
        <v>29.92</v>
      </c>
      <c r="AG42" s="89">
        <f t="shared" si="27"/>
        <v>-1.1235955056179803E-2</v>
      </c>
      <c r="AH42" s="89">
        <f t="shared" si="7"/>
        <v>-9.5994703740482912E-3</v>
      </c>
      <c r="AI42"/>
      <c r="AJ42" s="248" t="s">
        <v>505</v>
      </c>
      <c r="AK42">
        <v>36.950000000000003</v>
      </c>
      <c r="AL42" s="89">
        <f t="shared" si="28"/>
        <v>4.1725401747956026E-2</v>
      </c>
      <c r="AM42" s="89">
        <f t="shared" si="8"/>
        <v>1.1497399397755403E-2</v>
      </c>
      <c r="AN42"/>
      <c r="AO42" s="248" t="s">
        <v>505</v>
      </c>
      <c r="AP42" s="351">
        <v>29.8</v>
      </c>
      <c r="AQ42" s="118">
        <f t="shared" si="29"/>
        <v>1.3260795647738854E-2</v>
      </c>
      <c r="AR42" s="118">
        <f t="shared" si="9"/>
        <v>-1.3404825737265424E-3</v>
      </c>
      <c r="AS42"/>
      <c r="AT42" s="248" t="s">
        <v>505</v>
      </c>
      <c r="AU42" s="95">
        <v>200363900</v>
      </c>
      <c r="AV42" s="89">
        <f t="shared" si="53"/>
        <v>4.6062722863512207E-2</v>
      </c>
      <c r="AW42"/>
      <c r="AX42" s="248" t="s">
        <v>505</v>
      </c>
      <c r="AY42" s="95">
        <v>6696700</v>
      </c>
      <c r="AZ42" s="89">
        <f t="shared" si="54"/>
        <v>5.8047493403693862E-2</v>
      </c>
      <c r="BA42" s="89">
        <f t="shared" si="55"/>
        <v>4.3382758908321106E-2</v>
      </c>
      <c r="BB42"/>
      <c r="BC42" s="248" t="s">
        <v>505</v>
      </c>
      <c r="BD42">
        <v>1120</v>
      </c>
      <c r="BE42">
        <v>1120</v>
      </c>
      <c r="BF42" t="s">
        <v>634</v>
      </c>
      <c r="BG42" s="118">
        <f t="shared" si="58"/>
        <v>1.6333938294010864E-2</v>
      </c>
      <c r="BH42" s="118">
        <f t="shared" si="58"/>
        <v>1.6333938294010864E-2</v>
      </c>
      <c r="BI42" s="118"/>
      <c r="BJ42" s="118">
        <f t="shared" si="39"/>
        <v>3.5842293906809264E-3</v>
      </c>
      <c r="BK42" s="350">
        <v>42705</v>
      </c>
      <c r="BL42" s="352">
        <v>15.25</v>
      </c>
      <c r="BM42" s="118">
        <f t="shared" si="32"/>
        <v>3.3898305084745672E-2</v>
      </c>
      <c r="BN42"/>
      <c r="BO42"/>
      <c r="BP42" s="350">
        <v>42705</v>
      </c>
      <c r="BQ42" s="352">
        <f t="shared" si="2"/>
        <v>31.001359070484046</v>
      </c>
      <c r="BR42" s="352">
        <f t="shared" si="3"/>
        <v>38.285435082031604</v>
      </c>
      <c r="BS42" s="352">
        <f t="shared" si="4"/>
        <v>30.877022068864456</v>
      </c>
      <c r="BT42"/>
      <c r="BU42"/>
      <c r="BV42" s="248" t="s">
        <v>505</v>
      </c>
      <c r="BW42">
        <v>1097</v>
      </c>
      <c r="BX42">
        <v>1115</v>
      </c>
      <c r="BY42">
        <v>1117</v>
      </c>
      <c r="BZ42" s="118">
        <f t="shared" si="56"/>
        <v>2.1415270018621868E-2</v>
      </c>
      <c r="CA42" s="118">
        <f t="shared" si="56"/>
        <v>1.8264840182648401E-2</v>
      </c>
      <c r="CB42" s="118">
        <f t="shared" si="56"/>
        <v>1.7304189435336959E-2</v>
      </c>
      <c r="CD42" s="248" t="s">
        <v>505</v>
      </c>
      <c r="CE42" s="370">
        <v>1125</v>
      </c>
      <c r="CF42" s="118">
        <f t="shared" si="41"/>
        <v>1.3513513513513598E-2</v>
      </c>
      <c r="CG42" s="118">
        <f t="shared" si="37"/>
        <v>8.8967971530240497E-4</v>
      </c>
      <c r="CH42" s="370">
        <v>1141</v>
      </c>
      <c r="CI42" s="118">
        <f t="shared" si="20"/>
        <v>1.6028495102404339E-2</v>
      </c>
      <c r="CJ42" s="118">
        <f t="shared" si="38"/>
        <v>4.4014084507042472E-3</v>
      </c>
      <c r="CL42" s="248" t="s">
        <v>505</v>
      </c>
      <c r="CM42" s="370">
        <v>1097</v>
      </c>
      <c r="CN42" s="370">
        <v>1120</v>
      </c>
      <c r="CO42" s="370">
        <v>1115</v>
      </c>
      <c r="CP42"/>
      <c r="CQ42" s="282" t="s">
        <v>407</v>
      </c>
      <c r="CR42" s="282"/>
      <c r="CS42" s="282"/>
      <c r="CT42" s="282"/>
      <c r="CU42" s="282"/>
      <c r="CW42" s="248" t="s">
        <v>653</v>
      </c>
      <c r="CX42">
        <v>820.73955000000001</v>
      </c>
      <c r="CY42">
        <v>820.73955000000001</v>
      </c>
      <c r="CZ42">
        <v>814.4</v>
      </c>
      <c r="DA42"/>
      <c r="DB42" s="350">
        <v>40513</v>
      </c>
      <c r="DC42" s="88">
        <f t="shared" si="59"/>
        <v>1376.575</v>
      </c>
      <c r="DD42" s="88">
        <f t="shared" si="57"/>
        <v>1276.3440000000001</v>
      </c>
      <c r="DE42" s="89">
        <f t="shared" si="33"/>
        <v>1.3847675568744E-2</v>
      </c>
      <c r="DF42" s="89">
        <f t="shared" si="33"/>
        <v>1.6848364717542141E-2</v>
      </c>
      <c r="DG42" s="89">
        <f t="shared" si="63"/>
        <v>8.8757396449703485E-3</v>
      </c>
      <c r="DH42" s="248" t="s">
        <v>705</v>
      </c>
      <c r="DI42">
        <v>20.2</v>
      </c>
      <c r="DJ42">
        <v>16.22</v>
      </c>
      <c r="DK42">
        <v>17.05</v>
      </c>
      <c r="DL42"/>
      <c r="DM42" s="353">
        <v>36039</v>
      </c>
      <c r="DN42">
        <v>17.52</v>
      </c>
      <c r="DO42">
        <v>17.05</v>
      </c>
      <c r="DP42" s="365">
        <f t="shared" si="61"/>
        <v>1.0380622837370179E-2</v>
      </c>
      <c r="DQ42" s="365">
        <f t="shared" si="61"/>
        <v>2.525556223692127E-2</v>
      </c>
      <c r="DR42" s="365">
        <f t="shared" si="51"/>
        <v>2.395621510592072E-2</v>
      </c>
      <c r="DS42" s="365">
        <f t="shared" si="51"/>
        <v>2.7249631902552585E-2</v>
      </c>
      <c r="DU42" s="367">
        <v>38504</v>
      </c>
      <c r="DV42" s="368">
        <v>86.1</v>
      </c>
      <c r="DW42" s="368">
        <v>86.6</v>
      </c>
      <c r="DX42" s="369">
        <v>85.6</v>
      </c>
      <c r="DY42" s="367">
        <v>20607</v>
      </c>
      <c r="DZ42" s="368">
        <v>7</v>
      </c>
      <c r="EC42" s="350">
        <v>43435</v>
      </c>
      <c r="ED42">
        <f t="shared" si="17"/>
        <v>1025.3865439921951</v>
      </c>
      <c r="EE42">
        <f t="shared" si="11"/>
        <v>994.41849400585363</v>
      </c>
      <c r="EF42">
        <f t="shared" si="12"/>
        <v>1079.1547144426213</v>
      </c>
      <c r="EG42">
        <f t="shared" si="13"/>
        <v>1079.4353509546797</v>
      </c>
      <c r="EJ42" s="248" t="s">
        <v>706</v>
      </c>
      <c r="EK42" s="95">
        <v>61386800</v>
      </c>
      <c r="EL42" s="95">
        <v>704161100</v>
      </c>
      <c r="EM42"/>
      <c r="EN42" s="248" t="s">
        <v>706</v>
      </c>
      <c r="EO42" s="95">
        <v>3455500</v>
      </c>
      <c r="EP42" s="95">
        <v>40959600</v>
      </c>
      <c r="EQ42"/>
      <c r="ER42" s="352">
        <f t="shared" si="14"/>
        <v>17.764954420489076</v>
      </c>
      <c r="ES42" s="352">
        <f t="shared" si="14"/>
        <v>17.191600992197188</v>
      </c>
      <c r="ET42" s="89">
        <f t="shared" si="62"/>
        <v>2.2455667010930158E-2</v>
      </c>
      <c r="EU42" s="89">
        <f t="shared" si="62"/>
        <v>2.9835217734824226E-2</v>
      </c>
      <c r="EV42" s="350">
        <v>36130</v>
      </c>
      <c r="EW42" s="352">
        <f t="shared" si="60"/>
        <v>17.564780484934087</v>
      </c>
      <c r="EX42" s="352">
        <f t="shared" si="60"/>
        <v>17.003173669210259</v>
      </c>
      <c r="EY42" s="89">
        <f t="shared" si="52"/>
        <v>2.0506980499345184E-2</v>
      </c>
      <c r="EZ42" s="89">
        <f t="shared" si="52"/>
        <v>2.6884469521316401E-2</v>
      </c>
    </row>
    <row r="43" spans="1:156" s="255" customFormat="1" ht="15" customHeight="1">
      <c r="A43" s="350">
        <v>42795</v>
      </c>
      <c r="B43" s="248" t="s">
        <v>508</v>
      </c>
      <c r="C43">
        <v>1069</v>
      </c>
      <c r="D43" s="89">
        <f t="shared" si="50"/>
        <v>1.5194681861348425E-2</v>
      </c>
      <c r="F43" s="248" t="s">
        <v>508</v>
      </c>
      <c r="G43">
        <v>1044</v>
      </c>
      <c r="H43" s="89">
        <f t="shared" si="22"/>
        <v>1.2609117361784605E-2</v>
      </c>
      <c r="I43">
        <v>1083</v>
      </c>
      <c r="J43" s="89">
        <f t="shared" si="22"/>
        <v>1.8814675446848561E-2</v>
      </c>
      <c r="K43">
        <v>1088</v>
      </c>
      <c r="L43" s="89">
        <f t="shared" si="22"/>
        <v>1.6822429906542036E-2</v>
      </c>
      <c r="N43" s="248" t="s">
        <v>508</v>
      </c>
      <c r="O43">
        <v>1000</v>
      </c>
      <c r="P43" s="89">
        <f t="shared" si="45"/>
        <v>2.1666666860783224E-2</v>
      </c>
      <c r="Q43" s="89">
        <f t="shared" si="15"/>
        <v>9.8846785216732957E-3</v>
      </c>
      <c r="R43" s="88">
        <f t="shared" si="43"/>
        <v>980.45734389144377</v>
      </c>
      <c r="S43" s="89">
        <f t="shared" si="46"/>
        <v>2.1666666860783224E-2</v>
      </c>
      <c r="T43" s="89">
        <f t="shared" si="5"/>
        <v>9.8846785216732957E-3</v>
      </c>
      <c r="U43" s="89"/>
      <c r="V43" s="248" t="s">
        <v>508</v>
      </c>
      <c r="W43">
        <v>997.70466699999997</v>
      </c>
      <c r="X43" s="89">
        <f t="shared" si="23"/>
        <v>2.6771653551410424E-2</v>
      </c>
      <c r="Y43" s="88">
        <f t="shared" si="44"/>
        <v>978.58707715468222</v>
      </c>
      <c r="Z43" s="89">
        <f t="shared" si="19"/>
        <v>2.6771653551410424E-2</v>
      </c>
      <c r="AA43" s="89">
        <f t="shared" si="6"/>
        <v>5.3970695675418234E-3</v>
      </c>
      <c r="AB43" s="89"/>
      <c r="AC43" s="248" t="s">
        <v>508</v>
      </c>
      <c r="AD43">
        <v>39.979999999999997</v>
      </c>
      <c r="AE43">
        <v>28.41</v>
      </c>
      <c r="AF43">
        <v>30.63</v>
      </c>
      <c r="AG43" s="89">
        <f t="shared" si="27"/>
        <v>9.2257001647446657E-3</v>
      </c>
      <c r="AH43" s="89">
        <f t="shared" si="7"/>
        <v>2.3729946524064127E-2</v>
      </c>
      <c r="AI43"/>
      <c r="AJ43" s="248" t="s">
        <v>508</v>
      </c>
      <c r="AK43">
        <v>37.07</v>
      </c>
      <c r="AL43" s="89">
        <f t="shared" si="28"/>
        <v>4.0707467714766965E-2</v>
      </c>
      <c r="AM43" s="89">
        <f t="shared" si="8"/>
        <v>3.2476319350474014E-3</v>
      </c>
      <c r="AN43"/>
      <c r="AO43" s="248" t="s">
        <v>508</v>
      </c>
      <c r="AP43" s="351">
        <v>29.96</v>
      </c>
      <c r="AQ43" s="118">
        <f t="shared" si="29"/>
        <v>1.6282225237449044E-2</v>
      </c>
      <c r="AR43" s="118">
        <f t="shared" si="9"/>
        <v>5.3691275167784269E-3</v>
      </c>
      <c r="AT43" s="248" t="s">
        <v>508</v>
      </c>
      <c r="AU43" s="95">
        <v>207264500</v>
      </c>
      <c r="AV43" s="89">
        <f t="shared" si="53"/>
        <v>5.0974663267950193E-2</v>
      </c>
      <c r="AX43" s="248" t="s">
        <v>508</v>
      </c>
      <c r="AY43" s="372">
        <v>6767600</v>
      </c>
      <c r="AZ43" s="89">
        <f>AY43/AY39-1</f>
        <v>4.1537774904966351E-2</v>
      </c>
      <c r="BA43" s="89">
        <f>SUM(AY40:AY43)/SUM(AY36:AY39)-1</f>
        <v>4.1330680761398009E-2</v>
      </c>
      <c r="BB43"/>
      <c r="BC43" s="248" t="s">
        <v>508</v>
      </c>
      <c r="BD43">
        <v>1123</v>
      </c>
      <c r="BE43">
        <v>1122</v>
      </c>
      <c r="BF43" t="s">
        <v>634</v>
      </c>
      <c r="BG43" s="118">
        <f t="shared" si="58"/>
        <v>1.4453477868112019E-2</v>
      </c>
      <c r="BH43" s="118">
        <f t="shared" si="58"/>
        <v>1.4466546112115841E-2</v>
      </c>
      <c r="BI43" s="118"/>
      <c r="BJ43" s="118">
        <f t="shared" si="39"/>
        <v>2.6785714285715301E-3</v>
      </c>
      <c r="BK43" s="350">
        <v>42795</v>
      </c>
      <c r="BL43" s="352">
        <v>15.25</v>
      </c>
      <c r="BM43" s="118">
        <f t="shared" si="32"/>
        <v>3.3898305084745672E-2</v>
      </c>
      <c r="BN43"/>
      <c r="BO43"/>
      <c r="BP43" s="350">
        <v>42795</v>
      </c>
      <c r="BQ43" s="352">
        <f t="shared" si="2"/>
        <v>31.426379999999998</v>
      </c>
      <c r="BR43" s="352">
        <f t="shared" si="3"/>
        <v>38.033819999999999</v>
      </c>
      <c r="BS43" s="352">
        <f t="shared" si="4"/>
        <v>30.738959999999999</v>
      </c>
      <c r="BT43"/>
      <c r="BU43"/>
      <c r="BV43" s="248" t="s">
        <v>508</v>
      </c>
      <c r="BW43">
        <v>1100</v>
      </c>
      <c r="BX43">
        <v>1116</v>
      </c>
      <c r="BY43">
        <v>1120</v>
      </c>
      <c r="BZ43" s="118">
        <f t="shared" si="56"/>
        <v>1.9462465245597693E-2</v>
      </c>
      <c r="CA43" s="118">
        <f t="shared" si="56"/>
        <v>1.5468607825295688E-2</v>
      </c>
      <c r="CB43" s="118">
        <f t="shared" si="56"/>
        <v>1.6333938294010864E-2</v>
      </c>
      <c r="CD43" s="248" t="s">
        <v>508</v>
      </c>
      <c r="CE43" s="370">
        <v>1128</v>
      </c>
      <c r="CF43" s="118">
        <f t="shared" si="41"/>
        <v>1.2567324955116588E-2</v>
      </c>
      <c r="CG43" s="118">
        <f t="shared" si="37"/>
        <v>2.666666666666595E-3</v>
      </c>
      <c r="CH43" s="370">
        <v>1145</v>
      </c>
      <c r="CI43" s="118">
        <f t="shared" si="20"/>
        <v>1.5070921985815611E-2</v>
      </c>
      <c r="CJ43" s="118">
        <f t="shared" si="38"/>
        <v>3.5056967572304476E-3</v>
      </c>
      <c r="CL43" s="248" t="s">
        <v>508</v>
      </c>
      <c r="CM43" s="370">
        <v>1100</v>
      </c>
      <c r="CN43" s="370">
        <v>1123</v>
      </c>
      <c r="CO43" s="370">
        <v>1116</v>
      </c>
      <c r="CP43"/>
      <c r="CQ43" s="282" t="s">
        <v>716</v>
      </c>
      <c r="CR43" s="282"/>
      <c r="CS43" s="282"/>
      <c r="CT43" s="282"/>
      <c r="CU43" s="282"/>
      <c r="CW43" s="248" t="s">
        <v>656</v>
      </c>
      <c r="CX43">
        <v>826.36655900000005</v>
      </c>
      <c r="CY43">
        <v>826.36655900000005</v>
      </c>
      <c r="CZ43" t="s">
        <v>634</v>
      </c>
      <c r="DA43"/>
      <c r="DB43" s="350">
        <v>40603</v>
      </c>
      <c r="DC43" s="88">
        <f t="shared" si="59"/>
        <v>1387.319</v>
      </c>
      <c r="DD43" s="88">
        <f t="shared" si="57"/>
        <v>1282.5640000000001</v>
      </c>
      <c r="DE43" s="89">
        <f t="shared" si="33"/>
        <v>1.7733990147783318E-2</v>
      </c>
      <c r="DF43" s="89">
        <f t="shared" si="33"/>
        <v>1.8774703557312256E-2</v>
      </c>
      <c r="DG43" s="89">
        <f t="shared" si="63"/>
        <v>1.7699115044247815E-2</v>
      </c>
      <c r="DH43" s="248" t="s">
        <v>706</v>
      </c>
      <c r="DI43">
        <v>20.399999999999999</v>
      </c>
      <c r="DJ43">
        <v>16.350000000000001</v>
      </c>
      <c r="DK43">
        <v>17.190000000000001</v>
      </c>
      <c r="DL43"/>
      <c r="DM43" s="353">
        <v>36130</v>
      </c>
      <c r="DN43">
        <v>17.760000000000002</v>
      </c>
      <c r="DO43">
        <v>17.190000000000001</v>
      </c>
      <c r="DP43" s="365">
        <f t="shared" si="61"/>
        <v>2.2452504317789224E-2</v>
      </c>
      <c r="DQ43" s="365">
        <f t="shared" si="61"/>
        <v>2.9958058717795E-2</v>
      </c>
      <c r="DR43" s="365">
        <f t="shared" ref="DR43:DS58" si="64">GEOMEAN(DN40:DN43)/GEOMEAN(DN36:DN39)-1</f>
        <v>2.0646811497784912E-2</v>
      </c>
      <c r="DS43" s="365">
        <f t="shared" si="64"/>
        <v>2.701906893403172E-2</v>
      </c>
      <c r="DU43" s="367">
        <v>38596</v>
      </c>
      <c r="DV43" s="368">
        <v>87.7</v>
      </c>
      <c r="DW43" s="368">
        <v>88</v>
      </c>
      <c r="DX43" s="369">
        <v>87.3</v>
      </c>
      <c r="DY43" s="367">
        <v>20699</v>
      </c>
      <c r="DZ43" s="368">
        <v>7.1</v>
      </c>
      <c r="EC43" s="350">
        <v>43525</v>
      </c>
      <c r="ED43">
        <f>1000*(CN51/$CN$12)*$O$12/$O51</f>
        <v>1032.1216085779727</v>
      </c>
      <c r="EE43">
        <f>1000*(CO51/$CO$12)*($O$12/$O51)</f>
        <v>1002.902512248538</v>
      </c>
      <c r="EJ43" s="248" t="s">
        <v>707</v>
      </c>
      <c r="EK43" s="95">
        <v>60795000</v>
      </c>
      <c r="EL43" s="95">
        <v>712655700</v>
      </c>
      <c r="EM43"/>
      <c r="EN43" s="248" t="s">
        <v>707</v>
      </c>
      <c r="EO43" s="95">
        <v>3407800</v>
      </c>
      <c r="EP43" s="95">
        <v>41262400</v>
      </c>
      <c r="EQ43"/>
      <c r="ER43" s="352">
        <f t="shared" si="14"/>
        <v>17.839955396443454</v>
      </c>
      <c r="ES43" s="352">
        <f t="shared" si="14"/>
        <v>17.271309957733919</v>
      </c>
      <c r="ET43" s="89">
        <f t="shared" si="62"/>
        <v>2.0604308253562964E-2</v>
      </c>
      <c r="EU43" s="89">
        <f t="shared" si="62"/>
        <v>2.8674758823555857E-2</v>
      </c>
      <c r="EV43" s="350">
        <v>36220</v>
      </c>
      <c r="EW43" s="352">
        <f t="shared" si="60"/>
        <v>17.653425446171561</v>
      </c>
      <c r="EX43" s="352">
        <f t="shared" si="60"/>
        <v>17.123582699996948</v>
      </c>
      <c r="EY43" s="89">
        <f t="shared" ref="EY43:EZ58" si="65">EW43/EW39-1</f>
        <v>1.9352241236776369E-2</v>
      </c>
      <c r="EZ43" s="89">
        <f t="shared" si="65"/>
        <v>2.8001887463552366E-2</v>
      </c>
    </row>
    <row r="44" spans="1:156" s="255" customFormat="1" ht="15" customHeight="1">
      <c r="A44" s="360">
        <v>42887</v>
      </c>
      <c r="B44" s="361" t="s">
        <v>511</v>
      </c>
      <c r="C44" s="362">
        <v>1081</v>
      </c>
      <c r="D44" s="363">
        <f t="shared" si="50"/>
        <v>2.3674242424242431E-2</v>
      </c>
      <c r="F44" s="248" t="s">
        <v>511</v>
      </c>
      <c r="G44">
        <v>1055</v>
      </c>
      <c r="H44" s="363">
        <f t="shared" si="22"/>
        <v>2.2286821705426396E-2</v>
      </c>
      <c r="I44">
        <v>1093</v>
      </c>
      <c r="J44" s="363">
        <f t="shared" si="22"/>
        <v>2.4367385192127555E-2</v>
      </c>
      <c r="K44">
        <v>1100</v>
      </c>
      <c r="L44" s="363">
        <f t="shared" si="22"/>
        <v>1.8518518518518601E-2</v>
      </c>
      <c r="N44" s="248" t="s">
        <v>511</v>
      </c>
      <c r="O44">
        <v>1000</v>
      </c>
      <c r="P44" s="363">
        <f t="shared" si="45"/>
        <v>1.7427385490211167E-2</v>
      </c>
      <c r="Q44" s="363">
        <f t="shared" si="15"/>
        <v>0</v>
      </c>
      <c r="R44" s="88">
        <f t="shared" si="43"/>
        <v>980.45734389144377</v>
      </c>
      <c r="S44" s="363">
        <f t="shared" si="46"/>
        <v>1.7427385490211389E-2</v>
      </c>
      <c r="T44" s="363">
        <f t="shared" si="5"/>
        <v>0</v>
      </c>
      <c r="V44" s="248" t="s">
        <v>511</v>
      </c>
      <c r="W44">
        <v>1000</v>
      </c>
      <c r="X44" s="363">
        <f t="shared" si="23"/>
        <v>2.75157233358716E-2</v>
      </c>
      <c r="Y44" s="88">
        <f t="shared" si="44"/>
        <v>980.83842796606086</v>
      </c>
      <c r="Z44" s="363">
        <f t="shared" si="19"/>
        <v>2.75157233358716E-2</v>
      </c>
      <c r="AA44" s="89">
        <f t="shared" si="6"/>
        <v>2.3006136744874173E-3</v>
      </c>
      <c r="AC44" s="248" t="s">
        <v>511</v>
      </c>
      <c r="AD44">
        <v>40.549999999999997</v>
      </c>
      <c r="AE44">
        <v>28.52</v>
      </c>
      <c r="AF44">
        <v>30.77</v>
      </c>
      <c r="AG44" s="363">
        <f t="shared" si="27"/>
        <v>2.4300932090545846E-2</v>
      </c>
      <c r="AH44" s="363">
        <f t="shared" si="7"/>
        <v>4.5706823375775141E-3</v>
      </c>
      <c r="AI44"/>
      <c r="AJ44" s="248" t="s">
        <v>511</v>
      </c>
      <c r="AK44">
        <v>37.08</v>
      </c>
      <c r="AL44" s="363">
        <f t="shared" si="28"/>
        <v>3.3444816053511683E-2</v>
      </c>
      <c r="AM44" s="363">
        <f t="shared" si="8"/>
        <v>2.6975991367672592E-4</v>
      </c>
      <c r="AN44"/>
      <c r="AO44" s="248" t="s">
        <v>511</v>
      </c>
      <c r="AP44" s="351">
        <v>30.15</v>
      </c>
      <c r="AQ44" s="363">
        <f t="shared" si="29"/>
        <v>1.6177957532861331E-2</v>
      </c>
      <c r="AR44" s="363">
        <f t="shared" si="9"/>
        <v>6.3417890520693909E-3</v>
      </c>
      <c r="AT44" s="248"/>
      <c r="AU44" s="89"/>
      <c r="AV44"/>
      <c r="BB44"/>
      <c r="BC44" s="248" t="s">
        <v>511</v>
      </c>
      <c r="BD44">
        <v>1126</v>
      </c>
      <c r="BE44">
        <v>1126</v>
      </c>
      <c r="BF44" t="s">
        <v>634</v>
      </c>
      <c r="BG44" s="363">
        <f t="shared" si="58"/>
        <v>1.5329125338142457E-2</v>
      </c>
      <c r="BH44" s="363">
        <f t="shared" si="58"/>
        <v>1.5329125338142457E-2</v>
      </c>
      <c r="BI44"/>
      <c r="BJ44" s="118">
        <f t="shared" si="39"/>
        <v>2.6714158504006491E-3</v>
      </c>
      <c r="BK44" s="360">
        <v>42887</v>
      </c>
      <c r="BL44" s="364">
        <v>15.75</v>
      </c>
      <c r="BM44" s="363">
        <f t="shared" si="32"/>
        <v>3.2786885245901676E-2</v>
      </c>
      <c r="BN44"/>
      <c r="BO44"/>
      <c r="BP44" s="350">
        <v>42887</v>
      </c>
      <c r="BQ44" s="352">
        <f t="shared" si="2"/>
        <v>31.57002</v>
      </c>
      <c r="BR44" s="352">
        <f t="shared" si="3"/>
        <v>38.044080000000001</v>
      </c>
      <c r="BS44" s="352">
        <f t="shared" si="4"/>
        <v>30.933899999999998</v>
      </c>
      <c r="BT44"/>
      <c r="BU44"/>
      <c r="BV44" s="248" t="s">
        <v>511</v>
      </c>
      <c r="BW44">
        <v>1102</v>
      </c>
      <c r="BX44">
        <v>1119</v>
      </c>
      <c r="BY44">
        <v>1125</v>
      </c>
      <c r="BZ44" s="363">
        <f t="shared" si="56"/>
        <v>2.0370370370370372E-2</v>
      </c>
      <c r="CA44" s="363">
        <f t="shared" si="56"/>
        <v>1.7272727272727328E-2</v>
      </c>
      <c r="CB44" s="363">
        <f t="shared" si="56"/>
        <v>1.9021739130434812E-2</v>
      </c>
      <c r="CD44" s="248" t="s">
        <v>511</v>
      </c>
      <c r="CE44" s="370">
        <v>1134</v>
      </c>
      <c r="CF44" s="363">
        <f t="shared" si="41"/>
        <v>1.4311270125223707E-2</v>
      </c>
      <c r="CG44" s="363">
        <f t="shared" si="37"/>
        <v>5.3191489361701372E-3</v>
      </c>
      <c r="CH44" s="370">
        <v>1150</v>
      </c>
      <c r="CI44" s="363">
        <f t="shared" si="20"/>
        <v>1.5901060070671269E-2</v>
      </c>
      <c r="CJ44" s="363">
        <f t="shared" si="38"/>
        <v>4.366812227074135E-3</v>
      </c>
      <c r="CL44" s="248" t="s">
        <v>511</v>
      </c>
      <c r="CM44" s="370">
        <v>1102</v>
      </c>
      <c r="CN44" s="370">
        <v>1126</v>
      </c>
      <c r="CO44" s="370">
        <v>1119</v>
      </c>
      <c r="CP44"/>
      <c r="CQ44" s="282"/>
      <c r="CR44" s="282"/>
      <c r="CS44" s="282"/>
      <c r="CT44" s="282"/>
      <c r="CU44" s="282"/>
      <c r="CW44" s="248" t="s">
        <v>659</v>
      </c>
      <c r="CX44">
        <v>830.385852</v>
      </c>
      <c r="CY44">
        <v>830.385852</v>
      </c>
      <c r="CZ44" t="s">
        <v>634</v>
      </c>
      <c r="DA44"/>
      <c r="DB44" s="350">
        <v>40695</v>
      </c>
      <c r="DC44" s="88">
        <f t="shared" si="59"/>
        <v>1388.662</v>
      </c>
      <c r="DD44" s="88">
        <f t="shared" si="57"/>
        <v>1287.54</v>
      </c>
      <c r="DE44" s="89">
        <f t="shared" si="33"/>
        <v>1.5717092337917515E-2</v>
      </c>
      <c r="DF44" s="89">
        <f t="shared" si="33"/>
        <v>1.870078740157477E-2</v>
      </c>
      <c r="DG44" s="89">
        <f t="shared" si="63"/>
        <v>1.6699410609037235E-2</v>
      </c>
      <c r="DH44" s="248" t="s">
        <v>707</v>
      </c>
      <c r="DI44">
        <v>20.66</v>
      </c>
      <c r="DJ44">
        <v>16.399999999999999</v>
      </c>
      <c r="DK44">
        <v>17.27</v>
      </c>
      <c r="DL44"/>
      <c r="DM44" s="353">
        <v>36220</v>
      </c>
      <c r="DN44">
        <v>17.84</v>
      </c>
      <c r="DO44">
        <v>17.27</v>
      </c>
      <c r="DP44" s="365">
        <f t="shared" si="61"/>
        <v>2.0594965675057253E-2</v>
      </c>
      <c r="DQ44" s="365">
        <f t="shared" si="61"/>
        <v>2.8588445503275883E-2</v>
      </c>
      <c r="DR44" s="365">
        <f t="shared" si="64"/>
        <v>1.934425394467354E-2</v>
      </c>
      <c r="DS44" s="365">
        <f t="shared" si="64"/>
        <v>2.8065965826860051E-2</v>
      </c>
      <c r="DT44" s="371"/>
      <c r="DU44" s="367">
        <v>38687</v>
      </c>
      <c r="DV44" s="368">
        <v>88.6</v>
      </c>
      <c r="DW44" s="368">
        <v>89.1</v>
      </c>
      <c r="DX44" s="369">
        <v>88</v>
      </c>
      <c r="DY44" s="367">
        <v>20790</v>
      </c>
      <c r="DZ44" s="368">
        <v>7.1</v>
      </c>
      <c r="EJ44" s="248" t="s">
        <v>708</v>
      </c>
      <c r="EK44" s="95">
        <v>63526000</v>
      </c>
      <c r="EL44" s="95">
        <v>710254300</v>
      </c>
      <c r="EM44"/>
      <c r="EN44" s="248" t="s">
        <v>708</v>
      </c>
      <c r="EO44" s="95">
        <v>3606600</v>
      </c>
      <c r="EP44" s="95">
        <v>40926100</v>
      </c>
      <c r="EQ44"/>
      <c r="ER44" s="352">
        <f t="shared" si="14"/>
        <v>17.613819109410525</v>
      </c>
      <c r="ES44" s="352">
        <f t="shared" si="14"/>
        <v>17.354556138991988</v>
      </c>
      <c r="ET44" s="89">
        <f t="shared" si="62"/>
        <v>6.9884541391043165E-3</v>
      </c>
      <c r="EU44" s="89">
        <f t="shared" si="62"/>
        <v>2.2126239147811644E-2</v>
      </c>
      <c r="EV44" s="350">
        <v>36312</v>
      </c>
      <c r="EW44" s="352">
        <f t="shared" si="60"/>
        <v>17.682467853787625</v>
      </c>
      <c r="EX44" s="352">
        <f t="shared" si="60"/>
        <v>17.217462122807756</v>
      </c>
      <c r="EY44" s="89">
        <f t="shared" si="65"/>
        <v>1.5108242896743063E-2</v>
      </c>
      <c r="EZ44" s="89">
        <f t="shared" si="65"/>
        <v>2.6433393954863993E-2</v>
      </c>
    </row>
    <row r="45" spans="1:156" s="255" customFormat="1" ht="15" customHeight="1">
      <c r="A45" s="373">
        <v>42979</v>
      </c>
      <c r="B45" s="248" t="s">
        <v>514</v>
      </c>
      <c r="C45">
        <v>1085</v>
      </c>
      <c r="D45" s="89">
        <f t="shared" si="50"/>
        <v>2.1657250470809686E-2</v>
      </c>
      <c r="F45" s="248" t="s">
        <v>514</v>
      </c>
      <c r="G45">
        <v>1057</v>
      </c>
      <c r="H45" s="89">
        <f t="shared" ref="H45:H50" si="66">G45/G41-1</f>
        <v>2.0270270270270174E-2</v>
      </c>
      <c r="I45">
        <v>1098</v>
      </c>
      <c r="J45" s="89">
        <f t="shared" ref="J45:J50" si="67">I45/I41-1</f>
        <v>2.329916123019582E-2</v>
      </c>
      <c r="K45">
        <v>1111</v>
      </c>
      <c r="L45" s="89">
        <f t="shared" ref="L45:L50" si="68">K45/K41-1</f>
        <v>2.4907749077490715E-2</v>
      </c>
      <c r="N45" s="248" t="s">
        <v>514</v>
      </c>
      <c r="O45">
        <v>1004.893964</v>
      </c>
      <c r="P45" s="89">
        <f t="shared" si="45"/>
        <v>1.902398701755037E-2</v>
      </c>
      <c r="Q45" s="89">
        <f t="shared" si="15"/>
        <v>4.8939640000000839E-3</v>
      </c>
      <c r="R45" s="88">
        <f t="shared" si="43"/>
        <v>985.25566683598413</v>
      </c>
      <c r="S45" s="89">
        <f t="shared" si="46"/>
        <v>1.902398701755037E-2</v>
      </c>
      <c r="T45" s="89">
        <f t="shared" si="5"/>
        <v>4.8939640000000839E-3</v>
      </c>
      <c r="V45" s="248" t="s">
        <v>514</v>
      </c>
      <c r="W45">
        <v>1005.355777</v>
      </c>
      <c r="X45" s="89">
        <f t="shared" si="23"/>
        <v>2.0186335945767908E-2</v>
      </c>
      <c r="Y45" s="88">
        <f t="shared" si="44"/>
        <v>986.09157985927754</v>
      </c>
      <c r="Z45" s="89">
        <f t="shared" si="19"/>
        <v>2.0186335945767686E-2</v>
      </c>
      <c r="AA45" s="89">
        <f t="shared" si="6"/>
        <v>5.355776999999895E-3</v>
      </c>
      <c r="AC45" s="248" t="s">
        <v>514</v>
      </c>
      <c r="AD45">
        <v>40.79</v>
      </c>
      <c r="AE45">
        <v>29.19</v>
      </c>
      <c r="AF45">
        <v>31.35</v>
      </c>
      <c r="AG45" s="89">
        <f t="shared" si="27"/>
        <v>3.7735849056603765E-2</v>
      </c>
      <c r="AH45" s="89">
        <f t="shared" si="7"/>
        <v>1.884952876178092E-2</v>
      </c>
      <c r="AI45"/>
      <c r="AJ45" s="248" t="s">
        <v>514</v>
      </c>
      <c r="AK45">
        <v>37.28</v>
      </c>
      <c r="AL45" s="89">
        <f t="shared" si="28"/>
        <v>2.0531070353134506E-2</v>
      </c>
      <c r="AM45" s="89">
        <f t="shared" si="8"/>
        <v>5.3937432578210487E-3</v>
      </c>
      <c r="AN45"/>
      <c r="AO45" s="248" t="s">
        <v>514</v>
      </c>
      <c r="AP45" s="351">
        <v>30.51</v>
      </c>
      <c r="AQ45" s="118">
        <f t="shared" si="29"/>
        <v>2.2453083109919669E-2</v>
      </c>
      <c r="AR45" s="118">
        <f t="shared" si="9"/>
        <v>1.194029850746281E-2</v>
      </c>
      <c r="AT45" s="248"/>
      <c r="AU45" s="89"/>
      <c r="AV45"/>
      <c r="BB45"/>
      <c r="BC45" s="248" t="s">
        <v>514</v>
      </c>
      <c r="BD45">
        <v>1152</v>
      </c>
      <c r="BE45">
        <v>1151</v>
      </c>
      <c r="BF45" t="s">
        <v>634</v>
      </c>
      <c r="BG45" s="118">
        <f t="shared" si="58"/>
        <v>3.2258064516129004E-2</v>
      </c>
      <c r="BH45" s="118">
        <f t="shared" si="58"/>
        <v>3.1362007168458828E-2</v>
      </c>
      <c r="BI45"/>
      <c r="BJ45" s="118">
        <f t="shared" si="39"/>
        <v>2.3090586145648295E-2</v>
      </c>
      <c r="BK45" s="373">
        <v>42979</v>
      </c>
      <c r="BL45" s="374">
        <f>BL44</f>
        <v>15.75</v>
      </c>
      <c r="BM45" s="118">
        <f t="shared" si="32"/>
        <v>3.2786885245901676E-2</v>
      </c>
      <c r="BN45"/>
      <c r="BO45"/>
      <c r="BP45" s="350">
        <v>42979</v>
      </c>
      <c r="BQ45" s="352">
        <f t="shared" si="2"/>
        <v>32.008451789247687</v>
      </c>
      <c r="BR45" s="352">
        <f t="shared" si="3"/>
        <v>38.063001043162799</v>
      </c>
      <c r="BS45" s="352">
        <f t="shared" si="4"/>
        <v>31.150809061880288</v>
      </c>
      <c r="BT45"/>
      <c r="BU45"/>
      <c r="BV45" s="248" t="s">
        <v>514</v>
      </c>
      <c r="BW45">
        <v>1110</v>
      </c>
      <c r="BX45">
        <v>1119</v>
      </c>
      <c r="BY45">
        <v>1129</v>
      </c>
      <c r="BZ45" s="118">
        <f t="shared" si="56"/>
        <v>1.8348623853210899E-2</v>
      </c>
      <c r="CA45" s="118">
        <f t="shared" si="56"/>
        <v>9.0171325518484391E-3</v>
      </c>
      <c r="CB45" s="118">
        <f t="shared" si="56"/>
        <v>1.5287769784172678E-2</v>
      </c>
      <c r="CD45" s="248" t="s">
        <v>514</v>
      </c>
      <c r="CE45" s="370">
        <v>1183</v>
      </c>
      <c r="CF45" s="118">
        <f t="shared" si="41"/>
        <v>5.2491103202847E-2</v>
      </c>
      <c r="CG45" s="118">
        <f t="shared" si="37"/>
        <v>4.3209876543209846E-2</v>
      </c>
      <c r="CH45" s="370">
        <v>1158</v>
      </c>
      <c r="CI45" s="118">
        <f t="shared" si="20"/>
        <v>1.936619718309851E-2</v>
      </c>
      <c r="CJ45" s="118">
        <f t="shared" si="38"/>
        <v>6.9565217391305278E-3</v>
      </c>
      <c r="CL45" s="248" t="s">
        <v>514</v>
      </c>
      <c r="CM45" s="370">
        <v>1111</v>
      </c>
      <c r="CN45" s="370">
        <v>1152</v>
      </c>
      <c r="CO45" s="370">
        <v>1119</v>
      </c>
      <c r="CP45"/>
      <c r="CQ45" s="278" t="s">
        <v>424</v>
      </c>
      <c r="CR45" s="278"/>
      <c r="CS45" s="278"/>
      <c r="CT45" s="278"/>
      <c r="CU45" s="278"/>
      <c r="CV45" s="371"/>
      <c r="CW45" s="248" t="s">
        <v>666</v>
      </c>
      <c r="CX45">
        <v>835.20900300000005</v>
      </c>
      <c r="CY45">
        <v>835.20900300000005</v>
      </c>
      <c r="CZ45" t="s">
        <v>634</v>
      </c>
      <c r="DA45"/>
      <c r="DB45" s="350">
        <v>40787</v>
      </c>
      <c r="DC45" s="88">
        <f t="shared" si="59"/>
        <v>1395.377</v>
      </c>
      <c r="DD45" s="88">
        <f t="shared" si="57"/>
        <v>1295.0039999999999</v>
      </c>
      <c r="DE45" s="89">
        <f t="shared" si="33"/>
        <v>1.7629774730656189E-2</v>
      </c>
      <c r="DF45" s="89">
        <f t="shared" si="33"/>
        <v>1.9588638589618013E-2</v>
      </c>
      <c r="DG45" s="89">
        <f t="shared" si="63"/>
        <v>1.7629774730656189E-2</v>
      </c>
      <c r="DH45" s="248" t="s">
        <v>708</v>
      </c>
      <c r="DI45">
        <v>20.62</v>
      </c>
      <c r="DJ45">
        <v>16.489999999999998</v>
      </c>
      <c r="DK45">
        <v>17.350000000000001</v>
      </c>
      <c r="DL45"/>
      <c r="DM45" s="353">
        <v>36312</v>
      </c>
      <c r="DN45">
        <v>17.61</v>
      </c>
      <c r="DO45">
        <v>17.350000000000001</v>
      </c>
      <c r="DP45" s="365">
        <f t="shared" si="61"/>
        <v>6.8610634648371693E-3</v>
      </c>
      <c r="DQ45" s="365">
        <f t="shared" si="61"/>
        <v>2.1790341578327599E-2</v>
      </c>
      <c r="DR45" s="365">
        <f t="shared" si="64"/>
        <v>1.5050805039547255E-2</v>
      </c>
      <c r="DS45" s="365">
        <f t="shared" si="64"/>
        <v>2.6393226179402429E-2</v>
      </c>
      <c r="DU45" s="367">
        <v>38777</v>
      </c>
      <c r="DV45" s="368">
        <v>89.2</v>
      </c>
      <c r="DW45" s="368">
        <v>89.6</v>
      </c>
      <c r="DX45" s="369">
        <v>88.6</v>
      </c>
      <c r="DY45" s="367">
        <v>20880</v>
      </c>
      <c r="DZ45" s="368">
        <v>7.1</v>
      </c>
      <c r="EJ45" s="248" t="s">
        <v>709</v>
      </c>
      <c r="EK45" s="95">
        <v>62943900</v>
      </c>
      <c r="EL45" s="95">
        <v>708688400</v>
      </c>
      <c r="EM45"/>
      <c r="EN45" s="248" t="s">
        <v>709</v>
      </c>
      <c r="EO45" s="95">
        <v>3505700</v>
      </c>
      <c r="EP45" s="95">
        <v>40346100</v>
      </c>
      <c r="EQ45"/>
      <c r="ER45" s="352">
        <f t="shared" si="14"/>
        <v>17.954730866873948</v>
      </c>
      <c r="ES45" s="352">
        <f t="shared" si="14"/>
        <v>17.56522687446866</v>
      </c>
      <c r="ET45" s="89">
        <f t="shared" si="62"/>
        <v>2.497647778024481E-2</v>
      </c>
      <c r="EU45" s="89">
        <f t="shared" si="62"/>
        <v>3.0167827179699236E-2</v>
      </c>
      <c r="EV45" s="350">
        <v>36404</v>
      </c>
      <c r="EW45" s="352">
        <f t="shared" si="60"/>
        <v>17.791844357308452</v>
      </c>
      <c r="EX45" s="352">
        <f t="shared" si="60"/>
        <v>17.34471008757497</v>
      </c>
      <c r="EY45" s="89">
        <f t="shared" si="65"/>
        <v>1.8666698904834522E-2</v>
      </c>
      <c r="EZ45" s="89">
        <f t="shared" si="65"/>
        <v>2.7677010487826559E-2</v>
      </c>
    </row>
    <row r="46" spans="1:156" ht="15" customHeight="1">
      <c r="A46" s="373">
        <v>43070</v>
      </c>
      <c r="B46" s="248" t="s">
        <v>517</v>
      </c>
      <c r="C46">
        <v>1091</v>
      </c>
      <c r="D46" s="89">
        <f t="shared" si="50"/>
        <v>2.5375939849624052E-2</v>
      </c>
      <c r="E46" s="255"/>
      <c r="F46" s="248" t="s">
        <v>517</v>
      </c>
      <c r="G46">
        <v>1064</v>
      </c>
      <c r="H46" s="89">
        <f t="shared" si="66"/>
        <v>2.5048169556840083E-2</v>
      </c>
      <c r="I46">
        <v>1104</v>
      </c>
      <c r="J46" s="89">
        <f t="shared" si="67"/>
        <v>2.3169601482854407E-2</v>
      </c>
      <c r="K46">
        <v>1113</v>
      </c>
      <c r="L46" s="89">
        <f t="shared" si="68"/>
        <v>3.151065801668218E-2</v>
      </c>
      <c r="M46" s="255"/>
      <c r="N46" s="248" t="s">
        <v>517</v>
      </c>
      <c r="O46">
        <v>1006</v>
      </c>
      <c r="P46" s="89">
        <f t="shared" si="45"/>
        <v>1.5943986592803272E-2</v>
      </c>
      <c r="Q46" s="89">
        <f t="shared" si="15"/>
        <v>1.1006494611605078E-3</v>
      </c>
      <c r="R46" s="88">
        <f t="shared" si="43"/>
        <v>986.34008795479247</v>
      </c>
      <c r="S46" s="89">
        <f t="shared" si="46"/>
        <v>1.5943986592803494E-2</v>
      </c>
      <c r="T46" s="89">
        <f t="shared" si="5"/>
        <v>1.1006494611605078E-3</v>
      </c>
      <c r="U46" s="255"/>
      <c r="V46" s="248" t="s">
        <v>517</v>
      </c>
      <c r="W46">
        <v>1002</v>
      </c>
      <c r="X46" s="89">
        <f t="shared" si="23"/>
        <v>9.7255200137065234E-3</v>
      </c>
      <c r="Y46" s="88">
        <f t="shared" si="44"/>
        <v>982.80010482199293</v>
      </c>
      <c r="Z46" s="89">
        <f t="shared" si="19"/>
        <v>9.7255200137065234E-3</v>
      </c>
      <c r="AA46" s="89">
        <f t="shared" si="6"/>
        <v>-3.3378999522075681E-3</v>
      </c>
      <c r="AB46" s="255"/>
      <c r="AC46" s="248" t="s">
        <v>517</v>
      </c>
      <c r="AD46">
        <v>40.85</v>
      </c>
      <c r="AE46">
        <v>29.44</v>
      </c>
      <c r="AF46">
        <v>31.59</v>
      </c>
      <c r="AG46" s="89">
        <f t="shared" si="27"/>
        <v>5.5815508021390237E-2</v>
      </c>
      <c r="AH46" s="89">
        <f t="shared" si="7"/>
        <v>7.6555023923443599E-3</v>
      </c>
      <c r="AJ46" s="248" t="s">
        <v>517</v>
      </c>
      <c r="AK46">
        <v>37.85</v>
      </c>
      <c r="AL46" s="89">
        <f t="shared" si="28"/>
        <v>2.4357239512855067E-2</v>
      </c>
      <c r="AM46" s="89">
        <f t="shared" si="8"/>
        <v>1.5289699570815385E-2</v>
      </c>
      <c r="AO46" s="248" t="s">
        <v>517</v>
      </c>
      <c r="AP46" s="351">
        <v>30.74</v>
      </c>
      <c r="AQ46" s="118">
        <f t="shared" si="29"/>
        <v>3.1543624161073813E-2</v>
      </c>
      <c r="AR46" s="118">
        <f t="shared" si="9"/>
        <v>7.538511963290695E-3</v>
      </c>
      <c r="AS46" s="255"/>
      <c r="AT46" s="248"/>
      <c r="AU46" s="89"/>
      <c r="AW46" s="255"/>
      <c r="AX46" s="255"/>
      <c r="AY46" s="255"/>
      <c r="AZ46" s="255"/>
      <c r="BA46" s="255"/>
      <c r="BC46" s="248" t="s">
        <v>517</v>
      </c>
      <c r="BD46">
        <v>1160</v>
      </c>
      <c r="BE46">
        <v>1160</v>
      </c>
      <c r="BF46" t="s">
        <v>634</v>
      </c>
      <c r="BG46" s="118">
        <f t="shared" si="58"/>
        <v>3.5714285714285809E-2</v>
      </c>
      <c r="BH46" s="118">
        <f t="shared" si="58"/>
        <v>3.5714285714285809E-2</v>
      </c>
      <c r="BJ46" s="118">
        <f t="shared" si="39"/>
        <v>6.9444444444444198E-3</v>
      </c>
      <c r="BK46" s="373">
        <v>43070</v>
      </c>
      <c r="BL46" s="374">
        <f>BL45</f>
        <v>15.75</v>
      </c>
      <c r="BM46" s="118">
        <f t="shared" si="32"/>
        <v>3.2786885245901676E-2</v>
      </c>
      <c r="BP46" s="350">
        <v>43070</v>
      </c>
      <c r="BQ46" s="352">
        <f t="shared" si="2"/>
        <v>32.218031809145131</v>
      </c>
      <c r="BR46" s="352">
        <f t="shared" si="3"/>
        <v>38.602485089463222</v>
      </c>
      <c r="BS46" s="352">
        <f t="shared" si="4"/>
        <v>31.351133200795228</v>
      </c>
      <c r="BV46" s="248" t="s">
        <v>517</v>
      </c>
      <c r="BW46">
        <v>1115</v>
      </c>
      <c r="BX46">
        <v>1125</v>
      </c>
      <c r="BY46">
        <v>1134</v>
      </c>
      <c r="BZ46" s="118">
        <f t="shared" si="56"/>
        <v>1.6408386508659945E-2</v>
      </c>
      <c r="CA46" s="118">
        <f t="shared" si="56"/>
        <v>8.9686098654708779E-3</v>
      </c>
      <c r="CB46" s="118">
        <f t="shared" si="56"/>
        <v>1.5219337511190645E-2</v>
      </c>
      <c r="CC46" s="255"/>
      <c r="CD46" s="248" t="s">
        <v>517</v>
      </c>
      <c r="CE46" s="370">
        <v>1195</v>
      </c>
      <c r="CF46" s="118">
        <f t="shared" si="41"/>
        <v>6.2222222222222179E-2</v>
      </c>
      <c r="CG46" s="118">
        <f t="shared" si="37"/>
        <v>1.0143702451394843E-2</v>
      </c>
      <c r="CH46" s="370">
        <v>1163</v>
      </c>
      <c r="CI46" s="118">
        <f t="shared" si="20"/>
        <v>1.9281332164767795E-2</v>
      </c>
      <c r="CJ46" s="118">
        <f t="shared" si="38"/>
        <v>4.3177892918826455E-3</v>
      </c>
      <c r="CK46" s="255"/>
      <c r="CL46" s="248" t="s">
        <v>517</v>
      </c>
      <c r="CM46" s="370">
        <v>1116</v>
      </c>
      <c r="CN46" s="370">
        <v>1160</v>
      </c>
      <c r="CO46" s="370">
        <v>1125</v>
      </c>
      <c r="CQ46" s="282" t="s">
        <v>717</v>
      </c>
      <c r="CR46" s="282"/>
      <c r="CS46" s="282"/>
      <c r="CT46" s="282"/>
      <c r="CU46" s="282"/>
      <c r="CV46" s="255"/>
      <c r="CW46" s="248" t="s">
        <v>669</v>
      </c>
      <c r="CX46">
        <v>839.228296</v>
      </c>
      <c r="CY46">
        <v>839.228296</v>
      </c>
      <c r="CZ46">
        <v>832</v>
      </c>
      <c r="DB46" s="350">
        <v>40878</v>
      </c>
      <c r="DC46" s="88">
        <f t="shared" si="59"/>
        <v>1400.749</v>
      </c>
      <c r="DD46" s="88">
        <f t="shared" si="57"/>
        <v>1302.4680000000001</v>
      </c>
      <c r="DE46" s="89">
        <f t="shared" si="33"/>
        <v>1.7560975609756113E-2</v>
      </c>
      <c r="DF46" s="89">
        <f t="shared" si="33"/>
        <v>2.0467836257309857E-2</v>
      </c>
      <c r="DG46" s="89">
        <f t="shared" si="63"/>
        <v>1.6617790811339184E-2</v>
      </c>
      <c r="DH46" s="248" t="s">
        <v>709</v>
      </c>
      <c r="DI46">
        <v>20.88</v>
      </c>
      <c r="DJ46">
        <v>16.68</v>
      </c>
      <c r="DK46">
        <v>17.57</v>
      </c>
      <c r="DM46" s="353">
        <v>36404</v>
      </c>
      <c r="DN46">
        <v>17.95</v>
      </c>
      <c r="DO46">
        <v>17.57</v>
      </c>
      <c r="DP46" s="365">
        <f t="shared" si="61"/>
        <v>2.4543378995433685E-2</v>
      </c>
      <c r="DQ46" s="365">
        <f t="shared" si="61"/>
        <v>3.0498533724340193E-2</v>
      </c>
      <c r="DR46" s="365">
        <f t="shared" si="64"/>
        <v>1.8589313736456781E-2</v>
      </c>
      <c r="DS46" s="365">
        <f t="shared" si="64"/>
        <v>2.7702914605970408E-2</v>
      </c>
      <c r="DT46" s="255"/>
      <c r="DU46" s="367">
        <v>38869</v>
      </c>
      <c r="DV46" s="368">
        <v>90</v>
      </c>
      <c r="DW46" s="368">
        <v>90.8</v>
      </c>
      <c r="DX46" s="369">
        <v>89.1</v>
      </c>
      <c r="DY46" s="367">
        <v>20972</v>
      </c>
      <c r="DZ46" s="368">
        <v>7.2</v>
      </c>
      <c r="EJ46" s="248" t="s">
        <v>710</v>
      </c>
      <c r="EK46" s="95">
        <v>64475900</v>
      </c>
      <c r="EL46" s="95">
        <v>730539100</v>
      </c>
      <c r="EN46" s="248" t="s">
        <v>710</v>
      </c>
      <c r="EO46" s="95">
        <v>3595500</v>
      </c>
      <c r="EP46" s="95">
        <v>41775300</v>
      </c>
      <c r="ER46" s="352">
        <f t="shared" si="14"/>
        <v>17.932387706855792</v>
      </c>
      <c r="ES46" s="352">
        <f t="shared" si="14"/>
        <v>17.487345393091132</v>
      </c>
      <c r="ET46" s="89">
        <f t="shared" si="62"/>
        <v>9.4249206839285282E-3</v>
      </c>
      <c r="EU46" s="89">
        <f t="shared" si="62"/>
        <v>1.7202842308181587E-2</v>
      </c>
      <c r="EV46" s="350">
        <v>36495</v>
      </c>
      <c r="EW46" s="352">
        <f t="shared" si="60"/>
        <v>17.834225962764602</v>
      </c>
      <c r="EX46" s="352">
        <f t="shared" si="60"/>
        <v>17.419142121077307</v>
      </c>
      <c r="EY46" s="89">
        <f t="shared" si="65"/>
        <v>1.5340099357440184E-2</v>
      </c>
      <c r="EZ46" s="89">
        <f t="shared" si="65"/>
        <v>2.4464165335221777E-2</v>
      </c>
    </row>
    <row r="47" spans="1:156" ht="15" customHeight="1">
      <c r="A47" s="373">
        <v>43160</v>
      </c>
      <c r="B47" s="248" t="s">
        <v>520</v>
      </c>
      <c r="C47">
        <v>1098</v>
      </c>
      <c r="D47" s="89">
        <f t="shared" si="50"/>
        <v>2.7128157156220745E-2</v>
      </c>
      <c r="E47" s="255"/>
      <c r="F47" s="248" t="s">
        <v>520</v>
      </c>
      <c r="G47">
        <v>1067</v>
      </c>
      <c r="H47" s="89">
        <f t="shared" si="66"/>
        <v>2.2030651340996243E-2</v>
      </c>
      <c r="I47">
        <v>1113</v>
      </c>
      <c r="J47" s="89">
        <f t="shared" si="67"/>
        <v>2.7700831024930705E-2</v>
      </c>
      <c r="K47">
        <v>1121</v>
      </c>
      <c r="L47" s="89">
        <f t="shared" si="68"/>
        <v>3.0330882352941124E-2</v>
      </c>
      <c r="M47" s="255"/>
      <c r="N47" s="248" t="s">
        <v>520</v>
      </c>
      <c r="O47">
        <v>1011</v>
      </c>
      <c r="P47" s="89">
        <f t="shared" si="45"/>
        <v>1.0999999999999899E-2</v>
      </c>
      <c r="Q47" s="89">
        <f t="shared" si="15"/>
        <v>4.9701789264413598E-3</v>
      </c>
      <c r="R47" s="88">
        <f t="shared" si="43"/>
        <v>991.24237467424962</v>
      </c>
      <c r="S47" s="89">
        <f t="shared" si="46"/>
        <v>1.0999999999999899E-2</v>
      </c>
      <c r="T47" s="89">
        <f t="shared" si="5"/>
        <v>4.9701789264413598E-3</v>
      </c>
      <c r="U47" s="255"/>
      <c r="V47" s="248" t="s">
        <v>520</v>
      </c>
      <c r="W47">
        <v>1007</v>
      </c>
      <c r="X47" s="89">
        <f t="shared" si="23"/>
        <v>9.3167179702087211E-3</v>
      </c>
      <c r="Y47" s="88">
        <f t="shared" si="44"/>
        <v>987.70429696182327</v>
      </c>
      <c r="Z47" s="89">
        <f t="shared" si="19"/>
        <v>9.3167179702087211E-3</v>
      </c>
      <c r="AA47" s="89">
        <f t="shared" si="6"/>
        <v>4.9900199600798611E-3</v>
      </c>
      <c r="AB47" s="255"/>
      <c r="AC47" s="248" t="s">
        <v>520</v>
      </c>
      <c r="AD47">
        <v>41.96</v>
      </c>
      <c r="AE47">
        <v>30.07</v>
      </c>
      <c r="AF47">
        <v>32.270000000000003</v>
      </c>
      <c r="AG47" s="89">
        <f t="shared" si="27"/>
        <v>5.3542278811622657E-2</v>
      </c>
      <c r="AH47" s="89">
        <f t="shared" si="7"/>
        <v>2.152579930357712E-2</v>
      </c>
      <c r="AJ47" s="248" t="s">
        <v>520</v>
      </c>
      <c r="AK47">
        <v>37.840000000000003</v>
      </c>
      <c r="AL47" s="89">
        <f t="shared" si="28"/>
        <v>2.0771513353115889E-2</v>
      </c>
      <c r="AM47" s="89">
        <f t="shared" si="8"/>
        <v>-2.6420079260236484E-4</v>
      </c>
      <c r="AO47" s="248" t="s">
        <v>520</v>
      </c>
      <c r="AP47" s="351">
        <v>31.03</v>
      </c>
      <c r="AQ47" s="118">
        <f t="shared" si="29"/>
        <v>3.5714285714285809E-2</v>
      </c>
      <c r="AR47" s="118">
        <f t="shared" si="9"/>
        <v>9.4339622641510523E-3</v>
      </c>
      <c r="AS47" s="255"/>
      <c r="AT47" s="248"/>
      <c r="AU47" s="89"/>
      <c r="AW47" s="255"/>
      <c r="AX47" s="255"/>
      <c r="AY47" s="255"/>
      <c r="AZ47" s="255"/>
      <c r="BA47" s="255"/>
      <c r="BC47" s="248" t="s">
        <v>520</v>
      </c>
      <c r="BD47">
        <v>1163</v>
      </c>
      <c r="BE47">
        <v>1162</v>
      </c>
      <c r="BF47" t="s">
        <v>634</v>
      </c>
      <c r="BG47" s="118">
        <f t="shared" si="58"/>
        <v>3.5618878005342802E-2</v>
      </c>
      <c r="BH47" s="118">
        <f t="shared" si="58"/>
        <v>3.5650623885917998E-2</v>
      </c>
      <c r="BJ47" s="118">
        <f>BD47/BD46-1</f>
        <v>2.586206896551646E-3</v>
      </c>
      <c r="BK47" s="373">
        <v>43160</v>
      </c>
      <c r="BL47" s="374">
        <f>BL46</f>
        <v>15.75</v>
      </c>
      <c r="BM47" s="118">
        <f t="shared" si="32"/>
        <v>3.2786885245901676E-2</v>
      </c>
      <c r="BP47" s="350">
        <v>43160</v>
      </c>
      <c r="BQ47" s="352">
        <f t="shared" si="2"/>
        <v>32.74878338278932</v>
      </c>
      <c r="BR47" s="352">
        <f t="shared" si="3"/>
        <v>38.40142433234422</v>
      </c>
      <c r="BS47" s="352">
        <f t="shared" si="4"/>
        <v>31.490385756676559</v>
      </c>
      <c r="BV47" s="248" t="s">
        <v>520</v>
      </c>
      <c r="BW47">
        <v>1117</v>
      </c>
      <c r="BX47">
        <v>1127</v>
      </c>
      <c r="BY47">
        <v>1137</v>
      </c>
      <c r="BZ47" s="118">
        <f t="shared" si="56"/>
        <v>1.5454545454545388E-2</v>
      </c>
      <c r="CA47" s="118">
        <f t="shared" si="56"/>
        <v>9.8566308243728251E-3</v>
      </c>
      <c r="CB47" s="118">
        <f t="shared" si="56"/>
        <v>1.5178571428571486E-2</v>
      </c>
      <c r="CC47" s="255"/>
      <c r="CD47" s="248" t="s">
        <v>520</v>
      </c>
      <c r="CE47" s="370">
        <v>1197</v>
      </c>
      <c r="CF47" s="118">
        <f t="shared" si="41"/>
        <v>6.1170212765957466E-2</v>
      </c>
      <c r="CG47" s="118">
        <f t="shared" si="37"/>
        <v>1.6736401673640433E-3</v>
      </c>
      <c r="CH47" s="370">
        <v>1167</v>
      </c>
      <c r="CI47" s="118">
        <f t="shared" si="20"/>
        <v>1.9213973799126594E-2</v>
      </c>
      <c r="CJ47" s="118">
        <f t="shared" si="38"/>
        <v>3.4393809114359186E-3</v>
      </c>
      <c r="CK47" s="255"/>
      <c r="CL47" s="248" t="s">
        <v>520</v>
      </c>
      <c r="CM47" s="370">
        <v>1117</v>
      </c>
      <c r="CN47" s="370">
        <v>1163</v>
      </c>
      <c r="CO47" s="370">
        <v>1127</v>
      </c>
      <c r="CQ47" s="282"/>
      <c r="CR47" s="282"/>
      <c r="CS47" s="282"/>
      <c r="CT47" s="282"/>
      <c r="CU47" s="282"/>
      <c r="CV47" s="255"/>
      <c r="CW47" s="248" t="s">
        <v>672</v>
      </c>
      <c r="CX47">
        <v>845.65916400000003</v>
      </c>
      <c r="CY47">
        <v>845.65916400000003</v>
      </c>
      <c r="CZ47" t="s">
        <v>634</v>
      </c>
      <c r="DB47" s="350">
        <v>40969</v>
      </c>
      <c r="DC47" s="88">
        <f t="shared" si="59"/>
        <v>1406.1210000000001</v>
      </c>
      <c r="DD47" s="88">
        <f t="shared" si="57"/>
        <v>1308.6880000000001</v>
      </c>
      <c r="DE47" s="89">
        <f t="shared" si="33"/>
        <v>1.3552758954501476E-2</v>
      </c>
      <c r="DF47" s="89">
        <f t="shared" si="33"/>
        <v>2.0368574199806089E-2</v>
      </c>
      <c r="DG47" s="89">
        <f t="shared" si="63"/>
        <v>9.6618357487923134E-3</v>
      </c>
      <c r="DH47" s="248" t="s">
        <v>710</v>
      </c>
      <c r="DI47">
        <v>21.1</v>
      </c>
      <c r="DJ47">
        <v>16.559999999999999</v>
      </c>
      <c r="DK47">
        <v>17.489999999999998</v>
      </c>
      <c r="DM47" s="353">
        <v>36495</v>
      </c>
      <c r="DN47">
        <v>17.93</v>
      </c>
      <c r="DO47">
        <v>17.489999999999998</v>
      </c>
      <c r="DP47" s="365">
        <f t="shared" si="61"/>
        <v>9.5720720720720021E-3</v>
      </c>
      <c r="DQ47" s="365">
        <f t="shared" si="61"/>
        <v>1.7452006980802626E-2</v>
      </c>
      <c r="DR47" s="365">
        <f t="shared" si="64"/>
        <v>1.5366105436511734E-2</v>
      </c>
      <c r="DS47" s="365">
        <f t="shared" si="64"/>
        <v>2.4568940898049174E-2</v>
      </c>
      <c r="DT47" s="255"/>
      <c r="DU47" s="367">
        <v>38961</v>
      </c>
      <c r="DV47" s="368">
        <v>91.4</v>
      </c>
      <c r="DW47" s="368">
        <v>91.3</v>
      </c>
      <c r="DX47" s="369">
        <v>91.5</v>
      </c>
      <c r="DY47" s="367">
        <v>21064</v>
      </c>
      <c r="DZ47" s="368">
        <v>7.2</v>
      </c>
      <c r="EJ47" s="248" t="s">
        <v>711</v>
      </c>
      <c r="EK47" s="95">
        <v>63807900</v>
      </c>
      <c r="EL47" s="95">
        <v>735232600</v>
      </c>
      <c r="EN47" s="248" t="s">
        <v>711</v>
      </c>
      <c r="EO47" s="95">
        <v>3534800</v>
      </c>
      <c r="EP47" s="95">
        <v>41872800</v>
      </c>
      <c r="ER47" s="352">
        <f t="shared" si="14"/>
        <v>18.051346610840785</v>
      </c>
      <c r="ES47" s="352">
        <f t="shared" si="14"/>
        <v>17.558715920597621</v>
      </c>
      <c r="ET47" s="89">
        <f t="shared" si="62"/>
        <v>1.1849312943880586E-2</v>
      </c>
      <c r="EU47" s="89">
        <f t="shared" si="62"/>
        <v>1.6640658037348377E-2</v>
      </c>
      <c r="EV47" s="350">
        <v>36586</v>
      </c>
      <c r="EW47" s="352">
        <f t="shared" si="60"/>
        <v>17.886741184896017</v>
      </c>
      <c r="EX47" s="352">
        <f t="shared" si="60"/>
        <v>17.491566532440213</v>
      </c>
      <c r="EY47" s="89">
        <f t="shared" si="65"/>
        <v>1.3216457023362382E-2</v>
      </c>
      <c r="EZ47" s="89">
        <f t="shared" si="65"/>
        <v>2.1489885550839194E-2</v>
      </c>
    </row>
    <row r="48" spans="1:156" ht="15" customHeight="1">
      <c r="A48" s="360">
        <v>43252</v>
      </c>
      <c r="B48" s="361" t="s">
        <v>523</v>
      </c>
      <c r="C48" s="362">
        <v>1102</v>
      </c>
      <c r="D48" s="363">
        <f t="shared" si="50"/>
        <v>1.9426456984273921E-2</v>
      </c>
      <c r="E48" s="375"/>
      <c r="F48" s="361" t="s">
        <v>523</v>
      </c>
      <c r="G48" s="362">
        <v>1069</v>
      </c>
      <c r="H48" s="363">
        <f t="shared" si="66"/>
        <v>1.3270142180094702E-2</v>
      </c>
      <c r="I48" s="362">
        <v>1118</v>
      </c>
      <c r="J48" s="363">
        <f t="shared" si="67"/>
        <v>2.2872827081427349E-2</v>
      </c>
      <c r="K48" s="362">
        <v>1126</v>
      </c>
      <c r="L48" s="363">
        <f t="shared" si="68"/>
        <v>2.3636363636363678E-2</v>
      </c>
      <c r="M48" s="375"/>
      <c r="N48" s="361" t="s">
        <v>523</v>
      </c>
      <c r="O48" s="362">
        <v>1015</v>
      </c>
      <c r="P48" s="363">
        <f t="shared" si="45"/>
        <v>1.4999999999999902E-2</v>
      </c>
      <c r="Q48" s="363">
        <f t="shared" si="15"/>
        <v>3.9564787339267937E-3</v>
      </c>
      <c r="R48" s="376">
        <f t="shared" si="43"/>
        <v>995.16420404981545</v>
      </c>
      <c r="S48" s="363">
        <f>R48/R44-1</f>
        <v>1.5000000000000124E-2</v>
      </c>
      <c r="T48" s="363">
        <f t="shared" si="5"/>
        <v>3.9564787339267937E-3</v>
      </c>
      <c r="U48" s="375"/>
      <c r="V48" s="361" t="s">
        <v>523</v>
      </c>
      <c r="W48" s="362">
        <v>1004</v>
      </c>
      <c r="X48" s="363">
        <f t="shared" si="23"/>
        <v>4.0000000000000036E-3</v>
      </c>
      <c r="Y48" s="376">
        <f>Y47*W48/W47</f>
        <v>984.76178167792511</v>
      </c>
      <c r="Z48" s="363">
        <f>Y48/Y44-1</f>
        <v>4.0000000000000036E-3</v>
      </c>
      <c r="AA48" s="363">
        <f t="shared" si="6"/>
        <v>-2.9791459781528529E-3</v>
      </c>
      <c r="AB48" s="375"/>
      <c r="AC48" s="361" t="s">
        <v>523</v>
      </c>
      <c r="AD48" s="362">
        <v>41.88</v>
      </c>
      <c r="AE48" s="362">
        <v>29.88</v>
      </c>
      <c r="AF48" s="362">
        <v>32.159999999999997</v>
      </c>
      <c r="AG48" s="363">
        <f t="shared" si="27"/>
        <v>4.5173870653233639E-2</v>
      </c>
      <c r="AH48" s="363">
        <f t="shared" si="7"/>
        <v>-3.4087387666565938E-3</v>
      </c>
      <c r="AI48" s="362"/>
      <c r="AJ48" s="361" t="s">
        <v>523</v>
      </c>
      <c r="AK48" s="362">
        <v>37.880000000000003</v>
      </c>
      <c r="AL48" s="363">
        <f>AK48/AK44-1</f>
        <v>2.1574973031283751E-2</v>
      </c>
      <c r="AM48" s="363">
        <f t="shared" si="8"/>
        <v>1.0570824524311906E-3</v>
      </c>
      <c r="AN48" s="362"/>
      <c r="AO48" s="361" t="s">
        <v>523</v>
      </c>
      <c r="AP48" s="377">
        <v>31.08</v>
      </c>
      <c r="AQ48" s="363">
        <f>AP48/AP44-1</f>
        <v>3.0845771144278666E-2</v>
      </c>
      <c r="AR48" s="363">
        <f t="shared" si="9"/>
        <v>1.6113438607798791E-3</v>
      </c>
      <c r="AS48" s="375"/>
      <c r="AT48" s="362"/>
      <c r="AU48" s="363"/>
      <c r="AV48" s="362"/>
      <c r="AW48" s="375"/>
      <c r="AX48" s="375"/>
      <c r="AY48" s="375"/>
      <c r="AZ48" s="375"/>
      <c r="BA48" s="375"/>
      <c r="BB48" s="362"/>
      <c r="BC48" s="361" t="s">
        <v>523</v>
      </c>
      <c r="BD48" s="362">
        <v>1165</v>
      </c>
      <c r="BE48" s="362">
        <v>1164</v>
      </c>
      <c r="BF48" s="362" t="s">
        <v>634</v>
      </c>
      <c r="BG48" s="363">
        <f t="shared" si="58"/>
        <v>3.4635879218472443E-2</v>
      </c>
      <c r="BH48" s="363">
        <f t="shared" si="58"/>
        <v>3.3747779751332141E-2</v>
      </c>
      <c r="BI48" s="362"/>
      <c r="BJ48" s="363">
        <f>BD48/BD47-1</f>
        <v>1.7196904557179593E-3</v>
      </c>
      <c r="BK48" s="360">
        <v>43252</v>
      </c>
      <c r="BL48" s="364">
        <v>16.5</v>
      </c>
      <c r="BM48" s="363">
        <f t="shared" si="32"/>
        <v>4.7619047619047672E-2</v>
      </c>
      <c r="BN48" s="362"/>
      <c r="BO48" s="362"/>
      <c r="BP48" s="360">
        <v>43252</v>
      </c>
      <c r="BQ48" s="364">
        <f t="shared" si="2"/>
        <v>32.508532019704433</v>
      </c>
      <c r="BR48" s="364">
        <f t="shared" si="3"/>
        <v>38.290522167487687</v>
      </c>
      <c r="BS48" s="364">
        <f t="shared" si="4"/>
        <v>31.416827586206896</v>
      </c>
      <c r="BT48" s="362"/>
      <c r="BU48" s="362"/>
      <c r="BV48" s="361" t="s">
        <v>523</v>
      </c>
      <c r="BW48" s="362">
        <v>1119</v>
      </c>
      <c r="BX48" s="362">
        <v>1129</v>
      </c>
      <c r="BY48" s="362">
        <v>1139</v>
      </c>
      <c r="BZ48" s="363">
        <f t="shared" ref="BZ48:BZ56" si="69">CB48</f>
        <v>1.244444444444448E-2</v>
      </c>
      <c r="CA48" s="363">
        <f t="shared" ref="CA48:CB56" si="70">BX48/BX44-1</f>
        <v>8.936550491510209E-3</v>
      </c>
      <c r="CB48" s="363">
        <f t="shared" si="70"/>
        <v>1.244444444444448E-2</v>
      </c>
      <c r="CC48" s="375"/>
      <c r="CD48" s="361" t="s">
        <v>523</v>
      </c>
      <c r="CE48" s="378">
        <v>1200</v>
      </c>
      <c r="CF48" s="363">
        <f t="shared" si="41"/>
        <v>5.8201058201058142E-2</v>
      </c>
      <c r="CG48" s="363">
        <f t="shared" si="37"/>
        <v>2.5062656641603454E-3</v>
      </c>
      <c r="CH48" s="378">
        <v>1174</v>
      </c>
      <c r="CI48" s="363">
        <f t="shared" si="20"/>
        <v>2.0869565217391362E-2</v>
      </c>
      <c r="CJ48" s="363">
        <f t="shared" si="38"/>
        <v>5.9982862039418272E-3</v>
      </c>
      <c r="CK48" s="375"/>
      <c r="CL48" s="361" t="s">
        <v>523</v>
      </c>
      <c r="CM48" s="378">
        <v>1120</v>
      </c>
      <c r="CN48" s="378">
        <v>1165</v>
      </c>
      <c r="CO48" s="378">
        <v>1129</v>
      </c>
      <c r="CQ48" s="282" t="s">
        <v>438</v>
      </c>
      <c r="CR48" s="282"/>
      <c r="CS48" s="282"/>
      <c r="CT48" s="282"/>
      <c r="CU48" s="282"/>
      <c r="CV48" s="255"/>
      <c r="CW48" s="248" t="s">
        <v>675</v>
      </c>
      <c r="CX48">
        <v>849.67845699999998</v>
      </c>
      <c r="CY48">
        <v>850.48231499999997</v>
      </c>
      <c r="CZ48" t="s">
        <v>634</v>
      </c>
      <c r="DB48" s="350">
        <v>41061</v>
      </c>
      <c r="DC48" s="88">
        <f t="shared" si="59"/>
        <v>1415.5219999999999</v>
      </c>
      <c r="DD48" s="88">
        <f t="shared" si="57"/>
        <v>1313.664</v>
      </c>
      <c r="DE48" s="89">
        <f t="shared" si="33"/>
        <v>1.934235976789167E-2</v>
      </c>
      <c r="DF48" s="89">
        <f t="shared" si="33"/>
        <v>2.0289855072463725E-2</v>
      </c>
      <c r="DG48" s="89">
        <f t="shared" si="63"/>
        <v>1.9323671497584627E-2</v>
      </c>
      <c r="DH48" s="248" t="s">
        <v>711</v>
      </c>
      <c r="DI48">
        <v>21.1</v>
      </c>
      <c r="DJ48">
        <v>16.7</v>
      </c>
      <c r="DK48">
        <v>17.559999999999999</v>
      </c>
      <c r="DM48" s="353">
        <v>36586</v>
      </c>
      <c r="DN48">
        <v>18.05</v>
      </c>
      <c r="DO48">
        <v>17.559999999999999</v>
      </c>
      <c r="DP48" s="365">
        <f t="shared" si="61"/>
        <v>1.1771300448430555E-2</v>
      </c>
      <c r="DQ48" s="365">
        <f t="shared" si="61"/>
        <v>1.6792125072379704E-2</v>
      </c>
      <c r="DR48" s="365">
        <f t="shared" si="64"/>
        <v>1.3164339534312175E-2</v>
      </c>
      <c r="DS48" s="365">
        <f t="shared" si="64"/>
        <v>2.1618666518441909E-2</v>
      </c>
      <c r="DT48" s="255"/>
      <c r="DU48" s="367">
        <v>39052</v>
      </c>
      <c r="DV48" s="368">
        <v>92.6</v>
      </c>
      <c r="DW48" s="368">
        <v>92.3</v>
      </c>
      <c r="DX48" s="369">
        <v>92.7</v>
      </c>
      <c r="DY48" s="367">
        <v>21155</v>
      </c>
      <c r="DZ48" s="368">
        <v>7.2</v>
      </c>
      <c r="EJ48" s="248" t="s">
        <v>712</v>
      </c>
      <c r="EK48" s="95">
        <v>65874200</v>
      </c>
      <c r="EL48" s="95">
        <v>739850300</v>
      </c>
      <c r="EN48" s="248" t="s">
        <v>712</v>
      </c>
      <c r="EO48" s="95">
        <v>3707600</v>
      </c>
      <c r="EP48" s="95">
        <v>41812800</v>
      </c>
      <c r="ER48" s="352">
        <f t="shared" si="14"/>
        <v>17.767342755421296</v>
      </c>
      <c r="ES48" s="352">
        <f t="shared" si="14"/>
        <v>17.694349577162974</v>
      </c>
      <c r="ET48" s="89">
        <f t="shared" si="62"/>
        <v>8.7160907613017535E-3</v>
      </c>
      <c r="EU48" s="89">
        <f t="shared" si="62"/>
        <v>1.9579494597821601E-2</v>
      </c>
      <c r="EV48" s="350">
        <v>36678</v>
      </c>
      <c r="EW48" s="352">
        <f t="shared" si="60"/>
        <v>17.924502914191695</v>
      </c>
      <c r="EX48" s="352">
        <f t="shared" si="60"/>
        <v>17.576522100996943</v>
      </c>
      <c r="EY48" s="89">
        <f t="shared" si="65"/>
        <v>1.3687855247661362E-2</v>
      </c>
      <c r="EZ48" s="89">
        <f t="shared" si="65"/>
        <v>2.0854407904492778E-2</v>
      </c>
    </row>
    <row r="49" spans="1:156" ht="15" customHeight="1">
      <c r="A49" s="373">
        <v>43344</v>
      </c>
      <c r="B49" s="379" t="s">
        <v>526</v>
      </c>
      <c r="C49">
        <v>1113</v>
      </c>
      <c r="D49" s="89">
        <f t="shared" si="50"/>
        <v>2.5806451612903292E-2</v>
      </c>
      <c r="E49" s="380"/>
      <c r="F49" s="248" t="s">
        <v>526</v>
      </c>
      <c r="G49">
        <v>1080</v>
      </c>
      <c r="H49" s="89">
        <f t="shared" si="66"/>
        <v>2.1759697256386046E-2</v>
      </c>
      <c r="I49">
        <v>1130</v>
      </c>
      <c r="J49" s="89">
        <f t="shared" si="67"/>
        <v>2.9143897996356971E-2</v>
      </c>
      <c r="K49">
        <v>1138</v>
      </c>
      <c r="L49" s="89">
        <f t="shared" si="68"/>
        <v>2.4302430243024364E-2</v>
      </c>
      <c r="M49" s="380"/>
      <c r="N49" s="248" t="s">
        <v>526</v>
      </c>
      <c r="O49">
        <v>1024</v>
      </c>
      <c r="P49" s="89">
        <f t="shared" si="45"/>
        <v>1.9012987125475389E-2</v>
      </c>
      <c r="Q49" s="89">
        <f t="shared" si="15"/>
        <v>8.8669950738915482E-3</v>
      </c>
      <c r="R49" s="88">
        <f t="shared" si="43"/>
        <v>1003.9883201448384</v>
      </c>
      <c r="S49" s="89">
        <f>R49/R45-1</f>
        <v>1.9012987125475389E-2</v>
      </c>
      <c r="T49" s="89">
        <f t="shared" si="5"/>
        <v>8.8669950738915482E-3</v>
      </c>
      <c r="U49" s="380"/>
      <c r="V49" s="248" t="s">
        <v>526</v>
      </c>
      <c r="W49">
        <v>1013</v>
      </c>
      <c r="X49" s="89">
        <f t="shared" si="23"/>
        <v>7.6035003477181728E-3</v>
      </c>
      <c r="Y49" s="88">
        <f>Y48*W49/W48</f>
        <v>993.58932752961971</v>
      </c>
      <c r="Z49" s="89">
        <f>Y49/Y45-1</f>
        <v>7.6035003477183949E-3</v>
      </c>
      <c r="AA49" s="89">
        <f t="shared" si="6"/>
        <v>8.9641434262948128E-3</v>
      </c>
      <c r="AB49" s="380"/>
      <c r="AC49" s="248" t="s">
        <v>526</v>
      </c>
      <c r="AD49">
        <v>42.36</v>
      </c>
      <c r="AE49">
        <v>30.14</v>
      </c>
      <c r="AF49">
        <v>32.450000000000003</v>
      </c>
      <c r="AG49" s="89">
        <f t="shared" si="27"/>
        <v>3.5087719298245723E-2</v>
      </c>
      <c r="AH49" s="89">
        <f t="shared" si="7"/>
        <v>9.0174129353235433E-3</v>
      </c>
      <c r="AI49" s="116"/>
      <c r="AJ49" s="379" t="s">
        <v>526</v>
      </c>
      <c r="AK49">
        <v>37.950000000000003</v>
      </c>
      <c r="AL49" s="89">
        <f>AK49/AK45-1</f>
        <v>1.7972103004291862E-2</v>
      </c>
      <c r="AM49" s="89">
        <f t="shared" si="8"/>
        <v>1.8479408658922392E-3</v>
      </c>
      <c r="AN49" s="116"/>
      <c r="AO49" s="379" t="s">
        <v>526</v>
      </c>
      <c r="AP49" s="381">
        <v>31.39</v>
      </c>
      <c r="AQ49" s="118">
        <f>AP49/AP45-1</f>
        <v>2.8843002294329789E-2</v>
      </c>
      <c r="AR49" s="118">
        <f t="shared" si="9"/>
        <v>9.9742599742600468E-3</v>
      </c>
      <c r="AS49" s="380"/>
      <c r="AT49" s="116"/>
      <c r="AU49" s="118"/>
      <c r="AV49" s="116"/>
      <c r="AW49" s="380"/>
      <c r="AX49" s="380"/>
      <c r="AY49" s="380"/>
      <c r="AZ49" s="380"/>
      <c r="BA49" s="380"/>
      <c r="BB49" s="116"/>
      <c r="BC49" s="248" t="s">
        <v>526</v>
      </c>
      <c r="BD49">
        <v>1181</v>
      </c>
      <c r="BE49">
        <v>1180</v>
      </c>
      <c r="BF49" t="s">
        <v>634</v>
      </c>
      <c r="BG49" s="118">
        <f t="shared" si="58"/>
        <v>2.517361111111116E-2</v>
      </c>
      <c r="BH49" s="118">
        <f t="shared" si="58"/>
        <v>2.5195482189400487E-2</v>
      </c>
      <c r="BI49" s="116"/>
      <c r="BJ49" s="118">
        <f>BD49/BD48-1</f>
        <v>1.3733905579399242E-2</v>
      </c>
      <c r="BK49" s="373">
        <v>43344</v>
      </c>
      <c r="BL49" s="374">
        <v>16.5</v>
      </c>
      <c r="BM49" s="118">
        <f t="shared" si="32"/>
        <v>4.7619047619047672E-2</v>
      </c>
      <c r="BN49" s="116"/>
      <c r="BO49" s="116"/>
      <c r="BP49" s="350">
        <v>43344</v>
      </c>
      <c r="BQ49" s="352">
        <f t="shared" si="2"/>
        <v>32.513378906250004</v>
      </c>
      <c r="BR49" s="352">
        <f t="shared" si="3"/>
        <v>38.024121093750004</v>
      </c>
      <c r="BS49" s="352">
        <f t="shared" si="4"/>
        <v>31.451308593749999</v>
      </c>
      <c r="BT49" s="116"/>
      <c r="BU49" s="116"/>
      <c r="BV49" s="248" t="s">
        <v>526</v>
      </c>
      <c r="BW49">
        <v>1125</v>
      </c>
      <c r="BX49">
        <v>1141</v>
      </c>
      <c r="BY49">
        <v>1145</v>
      </c>
      <c r="BZ49" s="118">
        <f t="shared" si="69"/>
        <v>1.417183348095663E-2</v>
      </c>
      <c r="CA49" s="118">
        <f t="shared" si="70"/>
        <v>1.9660411081322549E-2</v>
      </c>
      <c r="CB49" s="118">
        <f t="shared" si="70"/>
        <v>1.417183348095663E-2</v>
      </c>
      <c r="CC49" s="380"/>
      <c r="CD49" s="248" t="s">
        <v>526</v>
      </c>
      <c r="CE49" s="370">
        <v>1220</v>
      </c>
      <c r="CF49" s="118">
        <f t="shared" si="41"/>
        <v>3.1276415891800413E-2</v>
      </c>
      <c r="CG49" s="118">
        <f t="shared" si="37"/>
        <v>1.6666666666666607E-2</v>
      </c>
      <c r="CH49" s="370">
        <v>1180</v>
      </c>
      <c r="CI49" s="118">
        <f t="shared" si="20"/>
        <v>1.899827288428324E-2</v>
      </c>
      <c r="CJ49" s="118">
        <f t="shared" si="38"/>
        <v>5.110732538330387E-3</v>
      </c>
      <c r="CK49" s="380"/>
      <c r="CL49" s="248" t="s">
        <v>526</v>
      </c>
      <c r="CM49" s="370">
        <v>1126</v>
      </c>
      <c r="CN49" s="370">
        <v>1181</v>
      </c>
      <c r="CO49" s="370">
        <v>1141</v>
      </c>
      <c r="CP49" s="116"/>
      <c r="CQ49" s="282" t="s">
        <v>443</v>
      </c>
      <c r="CR49" s="282"/>
      <c r="CS49" s="282"/>
      <c r="CT49" s="282"/>
      <c r="CU49" s="282"/>
      <c r="CV49" s="255"/>
      <c r="CW49" s="248" t="s">
        <v>678</v>
      </c>
      <c r="CX49">
        <v>853.69774900000004</v>
      </c>
      <c r="CY49">
        <v>853.69774900000004</v>
      </c>
      <c r="CZ49" t="s">
        <v>634</v>
      </c>
      <c r="DB49" s="350">
        <v>41153</v>
      </c>
      <c r="DC49" s="88">
        <f t="shared" si="59"/>
        <v>1419.5509999999999</v>
      </c>
      <c r="DD49" s="88">
        <f t="shared" si="57"/>
        <v>1319.884</v>
      </c>
      <c r="DE49" s="89">
        <f t="shared" si="33"/>
        <v>1.7324350336862304E-2</v>
      </c>
      <c r="DF49" s="89">
        <f t="shared" si="33"/>
        <v>1.9212295869356577E-2</v>
      </c>
      <c r="DG49" s="89">
        <f t="shared" si="63"/>
        <v>1.5399422521655382E-2</v>
      </c>
      <c r="DH49" s="248" t="s">
        <v>712</v>
      </c>
      <c r="DI49">
        <v>21.37</v>
      </c>
      <c r="DJ49">
        <v>16.75</v>
      </c>
      <c r="DK49">
        <v>17.690000000000001</v>
      </c>
      <c r="DM49" s="353">
        <v>36678</v>
      </c>
      <c r="DN49">
        <v>17.77</v>
      </c>
      <c r="DO49">
        <v>17.690000000000001</v>
      </c>
      <c r="DP49" s="365">
        <f t="shared" si="61"/>
        <v>9.0857467348097742E-3</v>
      </c>
      <c r="DQ49" s="365">
        <f t="shared" si="61"/>
        <v>1.9596541786743416E-2</v>
      </c>
      <c r="DR49" s="365">
        <f t="shared" si="64"/>
        <v>1.3723529045732041E-2</v>
      </c>
      <c r="DS49" s="365">
        <f t="shared" si="64"/>
        <v>2.1069866664260362E-2</v>
      </c>
      <c r="DT49" s="255"/>
      <c r="DU49" s="367">
        <v>39142</v>
      </c>
      <c r="DV49" s="368">
        <v>93.6</v>
      </c>
      <c r="DW49" s="368">
        <v>93.8</v>
      </c>
      <c r="DX49" s="369">
        <v>93.3</v>
      </c>
      <c r="DY49" s="367">
        <v>21245</v>
      </c>
      <c r="DZ49" s="368">
        <v>7.2</v>
      </c>
      <c r="EJ49" s="248" t="s">
        <v>713</v>
      </c>
      <c r="EK49" s="95">
        <v>68469400</v>
      </c>
      <c r="EL49" s="95">
        <v>749227500</v>
      </c>
      <c r="EN49" s="248" t="s">
        <v>713</v>
      </c>
      <c r="EO49" s="95">
        <v>3827200</v>
      </c>
      <c r="EP49" s="95">
        <v>41932700</v>
      </c>
      <c r="ER49" s="352">
        <f t="shared" si="14"/>
        <v>17.890206939799331</v>
      </c>
      <c r="ES49" s="352">
        <f t="shared" si="14"/>
        <v>17.867380349941691</v>
      </c>
      <c r="ET49" s="89">
        <f t="shared" si="62"/>
        <v>-3.5937005991920623E-3</v>
      </c>
      <c r="EU49" s="89">
        <f t="shared" si="62"/>
        <v>1.7201797485019377E-2</v>
      </c>
      <c r="EV49" s="350">
        <v>36770</v>
      </c>
      <c r="EW49" s="352">
        <f t="shared" si="60"/>
        <v>17.908326571247382</v>
      </c>
      <c r="EX49" s="352">
        <f t="shared" si="60"/>
        <v>17.652105576318331</v>
      </c>
      <c r="EY49" s="89">
        <f t="shared" si="65"/>
        <v>6.5469442964793956E-3</v>
      </c>
      <c r="EZ49" s="89">
        <f t="shared" si="65"/>
        <v>1.7722722789328405E-2</v>
      </c>
    </row>
    <row r="50" spans="1:156" ht="15" customHeight="1">
      <c r="A50" s="373">
        <v>43435</v>
      </c>
      <c r="B50" s="379" t="s">
        <v>529</v>
      </c>
      <c r="C50">
        <v>1118</v>
      </c>
      <c r="D50" s="89">
        <f t="shared" si="50"/>
        <v>2.4747937671860676E-2</v>
      </c>
      <c r="E50" s="380"/>
      <c r="F50" s="248" t="s">
        <v>529</v>
      </c>
      <c r="G50">
        <v>1083</v>
      </c>
      <c r="H50" s="89">
        <f t="shared" si="66"/>
        <v>1.7857142857142794E-2</v>
      </c>
      <c r="I50">
        <v>1133</v>
      </c>
      <c r="J50" s="89">
        <f t="shared" si="67"/>
        <v>2.6268115942029047E-2</v>
      </c>
      <c r="K50">
        <v>1150</v>
      </c>
      <c r="L50" s="89">
        <f t="shared" si="68"/>
        <v>3.3243486073674777E-2</v>
      </c>
      <c r="M50" s="380"/>
      <c r="N50" s="248" t="s">
        <v>529</v>
      </c>
      <c r="O50">
        <v>1025</v>
      </c>
      <c r="P50" s="89">
        <f t="shared" si="45"/>
        <v>1.8886679920477212E-2</v>
      </c>
      <c r="Q50" s="89">
        <f t="shared" si="15"/>
        <v>9.765625E-4</v>
      </c>
      <c r="R50" s="88">
        <f t="shared" si="43"/>
        <v>1004.9687774887299</v>
      </c>
      <c r="S50" s="89">
        <f>R50/R46-1</f>
        <v>1.8886679920477212E-2</v>
      </c>
      <c r="T50" s="89">
        <f t="shared" si="5"/>
        <v>9.765625E-4</v>
      </c>
      <c r="U50" s="380"/>
      <c r="V50" s="248" t="s">
        <v>529</v>
      </c>
      <c r="W50">
        <v>1018</v>
      </c>
      <c r="X50" s="89">
        <f t="shared" si="23"/>
        <v>1.5968063872255467E-2</v>
      </c>
      <c r="Y50" s="88">
        <f>Y49*W50/W49</f>
        <v>998.49351966945005</v>
      </c>
      <c r="Z50" s="89">
        <f>Y50/Y46-1</f>
        <v>1.5968063872255689E-2</v>
      </c>
      <c r="AA50" s="89">
        <f t="shared" si="6"/>
        <v>4.9358341559724295E-3</v>
      </c>
      <c r="AB50" s="380"/>
      <c r="AC50" s="248" t="s">
        <v>529</v>
      </c>
      <c r="AD50">
        <v>41.72</v>
      </c>
      <c r="AE50">
        <v>30.79</v>
      </c>
      <c r="AF50">
        <v>32.880000000000003</v>
      </c>
      <c r="AG50" s="89">
        <f t="shared" si="27"/>
        <v>4.0835707502374197E-2</v>
      </c>
      <c r="AH50" s="89">
        <f t="shared" si="7"/>
        <v>1.3251155624036892E-2</v>
      </c>
      <c r="AI50" s="116"/>
      <c r="AJ50" s="379" t="s">
        <v>529</v>
      </c>
      <c r="AK50">
        <v>38.450000000000003</v>
      </c>
      <c r="AL50" s="89">
        <f>AK50/AK46-1</f>
        <v>1.5852047556142779E-2</v>
      </c>
      <c r="AM50" s="89">
        <f t="shared" si="8"/>
        <v>1.3175230566534912E-2</v>
      </c>
      <c r="AN50" s="116"/>
      <c r="AO50" s="379" t="s">
        <v>529</v>
      </c>
      <c r="AP50" s="381">
        <v>31.7</v>
      </c>
      <c r="AQ50" s="118">
        <f>AP50/AP46-1</f>
        <v>3.1229668184775461E-2</v>
      </c>
      <c r="AR50" s="118">
        <f t="shared" si="9"/>
        <v>9.8757566103855332E-3</v>
      </c>
      <c r="AS50" s="380"/>
      <c r="AT50" s="116"/>
      <c r="AU50" s="118"/>
      <c r="AV50" s="116"/>
      <c r="AW50" s="380"/>
      <c r="AX50" s="380"/>
      <c r="AY50" s="380"/>
      <c r="AZ50" s="380"/>
      <c r="BA50" s="380"/>
      <c r="BB50" s="116"/>
      <c r="BC50" s="248" t="s">
        <v>529</v>
      </c>
      <c r="BD50">
        <v>1192</v>
      </c>
      <c r="BE50">
        <v>1192</v>
      </c>
      <c r="BF50" t="s">
        <v>634</v>
      </c>
      <c r="BG50" s="118">
        <f t="shared" si="58"/>
        <v>2.7586206896551779E-2</v>
      </c>
      <c r="BH50" s="118">
        <f t="shared" si="58"/>
        <v>2.7586206896551779E-2</v>
      </c>
      <c r="BI50" s="116"/>
      <c r="BJ50" s="118">
        <f>BD50/BD49-1</f>
        <v>9.3141405588483828E-3</v>
      </c>
      <c r="BK50" s="373">
        <v>43435</v>
      </c>
      <c r="BL50" s="374">
        <v>16.5</v>
      </c>
      <c r="BM50" s="118">
        <f t="shared" si="32"/>
        <v>4.7619047619047672E-2</v>
      </c>
      <c r="BN50" s="116"/>
      <c r="BO50" s="116"/>
      <c r="BP50" s="350">
        <v>43435</v>
      </c>
      <c r="BQ50" s="352">
        <f t="shared" si="2"/>
        <v>32.912078048780494</v>
      </c>
      <c r="BR50" s="352">
        <f t="shared" si="3"/>
        <v>38.487512195121958</v>
      </c>
      <c r="BS50" s="352">
        <f t="shared" si="4"/>
        <v>31.730926829268295</v>
      </c>
      <c r="BT50" s="116"/>
      <c r="BU50" s="116"/>
      <c r="BV50" s="248" t="s">
        <v>529</v>
      </c>
      <c r="BW50">
        <v>1132</v>
      </c>
      <c r="BX50">
        <v>1156</v>
      </c>
      <c r="BY50">
        <v>1152</v>
      </c>
      <c r="BZ50" s="118">
        <f t="shared" si="69"/>
        <v>1.5873015873015817E-2</v>
      </c>
      <c r="CA50" s="118">
        <f t="shared" si="70"/>
        <v>2.7555555555555555E-2</v>
      </c>
      <c r="CB50" s="118">
        <f t="shared" si="70"/>
        <v>1.5873015873015817E-2</v>
      </c>
      <c r="CC50" s="380"/>
      <c r="CD50" s="248" t="s">
        <v>529</v>
      </c>
      <c r="CE50" s="370">
        <v>1227</v>
      </c>
      <c r="CF50" s="118">
        <f t="shared" si="41"/>
        <v>2.6778242677824249E-2</v>
      </c>
      <c r="CG50" s="118">
        <f t="shared" si="37"/>
        <v>5.7377049180327155E-3</v>
      </c>
      <c r="CH50" s="370">
        <v>1186</v>
      </c>
      <c r="CI50" s="118">
        <f t="shared" si="20"/>
        <v>1.9776440240756754E-2</v>
      </c>
      <c r="CJ50" s="118">
        <f t="shared" si="38"/>
        <v>5.0847457627118953E-3</v>
      </c>
      <c r="CK50" s="380"/>
      <c r="CL50" s="248" t="s">
        <v>529</v>
      </c>
      <c r="CM50" s="370">
        <v>1132</v>
      </c>
      <c r="CN50" s="370">
        <v>1192</v>
      </c>
      <c r="CO50" s="370">
        <v>1156</v>
      </c>
      <c r="CP50" s="116"/>
      <c r="CQ50" s="282" t="s">
        <v>447</v>
      </c>
      <c r="CR50" s="282"/>
      <c r="CS50" s="282"/>
      <c r="CT50" s="282"/>
      <c r="CU50" s="282"/>
      <c r="CV50" s="255"/>
      <c r="CW50" s="248" t="s">
        <v>681</v>
      </c>
      <c r="CX50">
        <v>858.52089999999998</v>
      </c>
      <c r="CY50">
        <v>858.52089999999998</v>
      </c>
      <c r="CZ50">
        <v>847.2</v>
      </c>
      <c r="DB50" s="350">
        <v>41244</v>
      </c>
      <c r="DC50" s="88">
        <f t="shared" si="59"/>
        <v>1423.58</v>
      </c>
      <c r="DD50" s="88">
        <f t="shared" si="57"/>
        <v>1326.104</v>
      </c>
      <c r="DE50" s="89">
        <f t="shared" si="33"/>
        <v>1.6299137104506256E-2</v>
      </c>
      <c r="DF50" s="89">
        <f t="shared" si="33"/>
        <v>1.8147086914995114E-2</v>
      </c>
      <c r="DG50" s="89">
        <f t="shared" si="63"/>
        <v>1.6346153846153788E-2</v>
      </c>
      <c r="DH50" s="248" t="s">
        <v>713</v>
      </c>
      <c r="DI50">
        <v>21.69</v>
      </c>
      <c r="DJ50">
        <v>16.89</v>
      </c>
      <c r="DK50">
        <v>17.87</v>
      </c>
      <c r="DM50" s="353">
        <v>36770</v>
      </c>
      <c r="DN50">
        <v>17.89</v>
      </c>
      <c r="DO50">
        <v>17.87</v>
      </c>
      <c r="DP50" s="365">
        <f t="shared" si="61"/>
        <v>-3.3426183844010859E-3</v>
      </c>
      <c r="DQ50" s="365">
        <f t="shared" si="61"/>
        <v>1.707455890722831E-2</v>
      </c>
      <c r="DR50" s="365">
        <f t="shared" si="64"/>
        <v>6.7541092918568246E-3</v>
      </c>
      <c r="DS50" s="365">
        <f t="shared" si="64"/>
        <v>1.7728210417317758E-2</v>
      </c>
      <c r="DT50" s="255"/>
      <c r="DU50" s="367">
        <v>39234</v>
      </c>
      <c r="DV50" s="368">
        <v>93.9</v>
      </c>
      <c r="DW50" s="368">
        <v>94.4</v>
      </c>
      <c r="DX50" s="369">
        <v>93.4</v>
      </c>
      <c r="DY50" s="367">
        <v>21337</v>
      </c>
      <c r="DZ50" s="368">
        <v>7.2</v>
      </c>
      <c r="EJ50" s="248" t="s">
        <v>714</v>
      </c>
      <c r="EK50" s="95">
        <v>68304000</v>
      </c>
      <c r="EL50" s="95">
        <v>772775700</v>
      </c>
      <c r="EN50" s="248" t="s">
        <v>714</v>
      </c>
      <c r="EO50" s="95">
        <v>3791300</v>
      </c>
      <c r="EP50" s="95">
        <v>43099100</v>
      </c>
      <c r="ER50" s="352">
        <f t="shared" si="14"/>
        <v>18.015983963284363</v>
      </c>
      <c r="ES50" s="352">
        <f t="shared" si="14"/>
        <v>17.930205039084342</v>
      </c>
      <c r="ET50" s="89">
        <f t="shared" si="62"/>
        <v>4.6617471022338819E-3</v>
      </c>
      <c r="EU50" s="89">
        <f t="shared" si="62"/>
        <v>2.5324578204315218E-2</v>
      </c>
      <c r="EV50" s="350">
        <v>36861</v>
      </c>
      <c r="EW50" s="352">
        <f t="shared" si="60"/>
        <v>17.929970593974794</v>
      </c>
      <c r="EX50" s="352">
        <f t="shared" si="60"/>
        <v>17.76394195263796</v>
      </c>
      <c r="EY50" s="89">
        <f t="shared" si="65"/>
        <v>5.3685891055823554E-3</v>
      </c>
      <c r="EZ50" s="89">
        <f t="shared" si="65"/>
        <v>1.9794306123918748E-2</v>
      </c>
    </row>
    <row r="51" spans="1:156" ht="15" customHeight="1">
      <c r="A51" s="373">
        <v>43525</v>
      </c>
      <c r="B51" s="379" t="s">
        <v>718</v>
      </c>
      <c r="C51" s="382"/>
      <c r="D51" s="120"/>
      <c r="E51" s="380"/>
      <c r="F51" s="379" t="s">
        <v>718</v>
      </c>
      <c r="G51" s="382"/>
      <c r="H51" s="120"/>
      <c r="I51" s="382"/>
      <c r="J51" s="120"/>
      <c r="K51" s="382"/>
      <c r="L51" s="120"/>
      <c r="M51" s="380"/>
      <c r="N51" s="379" t="s">
        <v>718</v>
      </c>
      <c r="O51" s="383">
        <v>1026</v>
      </c>
      <c r="P51" s="89">
        <f>O51/O47-1</f>
        <v>1.4836795252225476E-2</v>
      </c>
      <c r="Q51" s="89">
        <f>O51/O50-1</f>
        <v>9.7560975609756184E-4</v>
      </c>
      <c r="R51" s="88">
        <f t="shared" si="43"/>
        <v>1005.9492348326213</v>
      </c>
      <c r="S51" s="89">
        <f>R51/R47-1</f>
        <v>1.4836795252225476E-2</v>
      </c>
      <c r="T51" s="89">
        <f>R51/R50-1</f>
        <v>9.7560975609756184E-4</v>
      </c>
      <c r="U51" s="380"/>
      <c r="V51" s="379" t="s">
        <v>718</v>
      </c>
      <c r="W51" s="383">
        <v>1016</v>
      </c>
      <c r="X51" s="89">
        <f>W51/W47-1</f>
        <v>8.9374379344588917E-3</v>
      </c>
      <c r="Y51" s="88">
        <f>Y50*W51/W50</f>
        <v>996.53184281351787</v>
      </c>
      <c r="Z51" s="89">
        <f>Y51/Y47-1</f>
        <v>8.9374379344588917E-3</v>
      </c>
      <c r="AA51" s="89">
        <f>Y51/Y50-1</f>
        <v>-1.9646365422397727E-3</v>
      </c>
      <c r="AB51" s="380"/>
      <c r="AC51" s="379" t="s">
        <v>718</v>
      </c>
      <c r="AD51" s="384">
        <v>42.8</v>
      </c>
      <c r="AE51" s="384">
        <v>31.21</v>
      </c>
      <c r="AF51" s="381">
        <v>33.4</v>
      </c>
      <c r="AG51" s="89">
        <f t="shared" si="27"/>
        <v>3.5017043693833072E-2</v>
      </c>
      <c r="AH51" s="89">
        <f>AF51/AF50-1</f>
        <v>1.5815085158150666E-2</v>
      </c>
      <c r="AI51" s="116"/>
      <c r="AJ51" s="379" t="s">
        <v>718</v>
      </c>
      <c r="AK51" s="384">
        <v>38.44</v>
      </c>
      <c r="AL51" s="89">
        <f>AK51/AK47-1</f>
        <v>1.5856236786469191E-2</v>
      </c>
      <c r="AM51" s="89">
        <f>AK51/AK50-1</f>
        <v>-2.6007802340710651E-4</v>
      </c>
      <c r="AN51" s="116"/>
      <c r="AO51" s="379" t="s">
        <v>718</v>
      </c>
      <c r="AP51" s="381">
        <v>32.04</v>
      </c>
      <c r="AQ51" s="118">
        <f>AP51/AP47-1</f>
        <v>3.2549145987753825E-2</v>
      </c>
      <c r="AR51" s="118">
        <f>AP51/AP50-1</f>
        <v>1.0725552050473208E-2</v>
      </c>
      <c r="AS51" s="380"/>
      <c r="AT51" s="116"/>
      <c r="AU51" s="118"/>
      <c r="AV51" s="116"/>
      <c r="AW51" s="380"/>
      <c r="AX51" s="380"/>
      <c r="AY51" s="380"/>
      <c r="AZ51" s="380"/>
      <c r="BA51" s="380"/>
      <c r="BB51" s="116"/>
      <c r="BC51" s="379" t="s">
        <v>718</v>
      </c>
      <c r="BD51" s="385">
        <v>1201</v>
      </c>
      <c r="BE51" s="385">
        <v>1200</v>
      </c>
      <c r="BF51" s="116"/>
      <c r="BG51" s="118">
        <f>BD51/BD47-1</f>
        <v>3.2674118658641449E-2</v>
      </c>
      <c r="BH51" s="118">
        <f>BE51/BE47-1</f>
        <v>3.2702237521514688E-2</v>
      </c>
      <c r="BI51" s="116"/>
      <c r="BJ51" s="118">
        <f>BD51/BD50-1</f>
        <v>7.5503355704698016E-3</v>
      </c>
      <c r="BK51" s="373">
        <v>43525</v>
      </c>
      <c r="BL51" s="374">
        <v>16.5</v>
      </c>
      <c r="BM51" s="118">
        <f t="shared" si="32"/>
        <v>4.7619047619047672E-2</v>
      </c>
      <c r="BN51" s="116"/>
      <c r="BO51" s="116"/>
      <c r="BP51" s="350">
        <v>43525</v>
      </c>
      <c r="BQ51" s="352">
        <f t="shared" si="2"/>
        <v>33.4</v>
      </c>
      <c r="BR51" s="352">
        <f t="shared" si="3"/>
        <v>38.44</v>
      </c>
      <c r="BS51" s="352">
        <f t="shared" si="4"/>
        <v>32.04</v>
      </c>
      <c r="BT51" s="116"/>
      <c r="BU51" s="116"/>
      <c r="BV51" s="379" t="s">
        <v>718</v>
      </c>
      <c r="BW51" s="385">
        <v>1143</v>
      </c>
      <c r="BX51" s="385">
        <v>1167</v>
      </c>
      <c r="BY51" s="385">
        <v>1160</v>
      </c>
      <c r="BZ51" s="118">
        <f t="shared" si="69"/>
        <v>2.0228671943711474E-2</v>
      </c>
      <c r="CA51" s="118">
        <f t="shared" si="70"/>
        <v>3.5492457852706272E-2</v>
      </c>
      <c r="CB51" s="118">
        <f t="shared" si="70"/>
        <v>2.0228671943711474E-2</v>
      </c>
      <c r="CC51" s="380"/>
      <c r="CD51" s="379" t="s">
        <v>718</v>
      </c>
      <c r="CE51" s="385">
        <v>1233</v>
      </c>
      <c r="CF51" s="118">
        <f t="shared" si="41"/>
        <v>3.007518796992481E-2</v>
      </c>
      <c r="CG51" s="118">
        <f t="shared" si="37"/>
        <v>4.8899755501221609E-3</v>
      </c>
      <c r="CH51" s="385">
        <v>1190</v>
      </c>
      <c r="CI51" s="118">
        <f t="shared" si="20"/>
        <v>1.9708654670094194E-2</v>
      </c>
      <c r="CJ51" s="118">
        <f>CH51/CH50-1</f>
        <v>3.3726812816188279E-3</v>
      </c>
      <c r="CK51" s="380"/>
      <c r="CL51" s="379" t="s">
        <v>718</v>
      </c>
      <c r="CM51" s="385">
        <v>1143</v>
      </c>
      <c r="CN51" s="385">
        <v>1201</v>
      </c>
      <c r="CO51" s="385">
        <v>1167</v>
      </c>
      <c r="CP51" s="116"/>
      <c r="CQ51" s="282" t="s">
        <v>452</v>
      </c>
      <c r="CR51" s="282"/>
      <c r="CS51" s="282"/>
      <c r="CT51" s="282"/>
      <c r="CU51" s="282"/>
      <c r="CV51" s="255"/>
      <c r="CW51" s="248" t="s">
        <v>684</v>
      </c>
      <c r="CX51">
        <v>864.14791000000002</v>
      </c>
      <c r="CY51">
        <v>864.14791000000002</v>
      </c>
      <c r="CZ51" t="s">
        <v>634</v>
      </c>
      <c r="DB51" s="350">
        <v>41334</v>
      </c>
      <c r="DC51" s="88">
        <f t="shared" si="59"/>
        <v>1428.952</v>
      </c>
      <c r="DD51" s="88">
        <f t="shared" si="57"/>
        <v>1331.08</v>
      </c>
      <c r="DE51" s="89">
        <f t="shared" si="33"/>
        <v>1.6236867239732389E-2</v>
      </c>
      <c r="DF51" s="89">
        <f t="shared" si="33"/>
        <v>1.7110266159695575E-2</v>
      </c>
      <c r="DG51" s="89">
        <f t="shared" si="63"/>
        <v>1.5311004784688942E-2</v>
      </c>
      <c r="DH51" s="248" t="s">
        <v>714</v>
      </c>
      <c r="DI51">
        <v>21.7</v>
      </c>
      <c r="DJ51">
        <v>16.98</v>
      </c>
      <c r="DK51">
        <v>17.93</v>
      </c>
      <c r="DM51" s="353">
        <v>36861</v>
      </c>
      <c r="DN51">
        <v>18.02</v>
      </c>
      <c r="DO51">
        <v>17.93</v>
      </c>
      <c r="DP51" s="365">
        <f t="shared" si="61"/>
        <v>5.0195203569436408E-3</v>
      </c>
      <c r="DQ51" s="365">
        <f t="shared" si="61"/>
        <v>2.515723270440251E-2</v>
      </c>
      <c r="DR51" s="365">
        <f t="shared" si="64"/>
        <v>5.6172238781062589E-3</v>
      </c>
      <c r="DS51" s="365">
        <f t="shared" si="64"/>
        <v>1.964959182429471E-2</v>
      </c>
      <c r="DT51" s="255"/>
      <c r="DU51" s="367">
        <v>39326</v>
      </c>
      <c r="DV51" s="368">
        <v>95.2</v>
      </c>
      <c r="DW51" s="368">
        <v>95.2</v>
      </c>
      <c r="DX51" s="369">
        <v>95.3</v>
      </c>
      <c r="DY51" s="367">
        <v>21429</v>
      </c>
      <c r="DZ51" s="368">
        <v>7.2</v>
      </c>
      <c r="EJ51" s="248" t="s">
        <v>715</v>
      </c>
      <c r="EK51" s="95">
        <v>69214700</v>
      </c>
      <c r="EL51" s="95">
        <v>774794800</v>
      </c>
      <c r="EN51" s="248" t="s">
        <v>715</v>
      </c>
      <c r="EO51" s="95">
        <v>3780400</v>
      </c>
      <c r="EP51" s="95">
        <v>42775800</v>
      </c>
      <c r="ER51" s="352">
        <f t="shared" si="14"/>
        <v>18.308829753465243</v>
      </c>
      <c r="ES51" s="352">
        <f t="shared" si="14"/>
        <v>18.112923662444654</v>
      </c>
      <c r="ET51" s="89">
        <f t="shared" si="62"/>
        <v>1.4263929898162164E-2</v>
      </c>
      <c r="EU51" s="89">
        <f t="shared" si="62"/>
        <v>3.1563113404944776E-2</v>
      </c>
      <c r="EV51" s="350">
        <v>36951</v>
      </c>
      <c r="EW51" s="352">
        <f t="shared" si="60"/>
        <v>17.99637904213418</v>
      </c>
      <c r="EX51" s="352">
        <f t="shared" si="60"/>
        <v>17.902612539529443</v>
      </c>
      <c r="EY51" s="89">
        <f t="shared" si="65"/>
        <v>6.1295602203235156E-3</v>
      </c>
      <c r="EZ51" s="89">
        <f t="shared" si="65"/>
        <v>2.3499668044419941E-2</v>
      </c>
    </row>
    <row r="52" spans="1:156" ht="15" customHeight="1">
      <c r="A52" s="373">
        <v>43617</v>
      </c>
      <c r="B52" s="379" t="s">
        <v>719</v>
      </c>
      <c r="C52" s="382"/>
      <c r="D52" s="120"/>
      <c r="E52" s="380"/>
      <c r="F52" s="379" t="s">
        <v>719</v>
      </c>
      <c r="G52" s="382"/>
      <c r="H52" s="120"/>
      <c r="I52" s="382"/>
      <c r="J52" s="120"/>
      <c r="K52" s="382"/>
      <c r="L52" s="120"/>
      <c r="M52" s="380"/>
      <c r="N52" s="379" t="s">
        <v>719</v>
      </c>
      <c r="O52" s="382">
        <f>O51*(1+Q52)</f>
        <v>1031.1299999999999</v>
      </c>
      <c r="P52" s="56">
        <f>O52/O48-1</f>
        <v>1.5891625615763516E-2</v>
      </c>
      <c r="Q52" s="56">
        <v>5.0000000000000001E-3</v>
      </c>
      <c r="R52" s="386">
        <f t="shared" si="43"/>
        <v>1010.9789810067844</v>
      </c>
      <c r="S52" s="56">
        <f t="shared" ref="S52:T56" si="71">P52</f>
        <v>1.5891625615763516E-2</v>
      </c>
      <c r="T52" s="56">
        <f t="shared" si="71"/>
        <v>5.0000000000000001E-3</v>
      </c>
      <c r="U52" s="380"/>
      <c r="V52" s="379" t="s">
        <v>719</v>
      </c>
      <c r="W52" s="382">
        <f>W51*(1+Q52)</f>
        <v>1021.0799999999999</v>
      </c>
      <c r="X52" s="56">
        <f>Q52</f>
        <v>5.0000000000000001E-3</v>
      </c>
      <c r="Y52" s="386">
        <f>Y51*W52/W51</f>
        <v>1001.5145020275853</v>
      </c>
      <c r="Z52" s="56">
        <f>Y52/Y48-1</f>
        <v>1.7011952191234858E-2</v>
      </c>
      <c r="AA52" s="56">
        <f>Y52/Y51-1</f>
        <v>4.9999999999998934E-3</v>
      </c>
      <c r="AB52" s="380"/>
      <c r="AC52" s="379" t="s">
        <v>719</v>
      </c>
      <c r="AD52" s="387">
        <f>AD51*(1+$AR$52)</f>
        <v>43.013999999999996</v>
      </c>
      <c r="AE52" s="387">
        <f>AE51*(1+$AR$52)</f>
        <v>31.366049999999998</v>
      </c>
      <c r="AF52" s="387">
        <f>AF51*(1+$AR$52)</f>
        <v>33.566999999999993</v>
      </c>
      <c r="AG52" s="56">
        <f t="shared" si="27"/>
        <v>4.3749999999999956E-2</v>
      </c>
      <c r="AH52" s="56">
        <f>AF52/AF51-1</f>
        <v>4.9999999999998934E-3</v>
      </c>
      <c r="AI52" s="116"/>
      <c r="AJ52" s="379" t="s">
        <v>719</v>
      </c>
      <c r="AK52" s="387">
        <f>AK51*(1+$AR$52)</f>
        <v>38.63219999999999</v>
      </c>
      <c r="AL52" s="56">
        <f>AK52/AK48-1</f>
        <v>1.9857444561773629E-2</v>
      </c>
      <c r="AM52" s="56">
        <f>AR52</f>
        <v>5.0000000000000001E-3</v>
      </c>
      <c r="AN52" s="116"/>
      <c r="AO52" s="379" t="s">
        <v>719</v>
      </c>
      <c r="AP52" s="388">
        <f>AP51*(1+AR52)</f>
        <v>32.200199999999995</v>
      </c>
      <c r="AQ52" s="120">
        <f>AP52/AP48-1</f>
        <v>3.6042471042470936E-2</v>
      </c>
      <c r="AR52" s="120">
        <v>5.0000000000000001E-3</v>
      </c>
      <c r="AS52" s="380"/>
      <c r="AT52" s="116"/>
      <c r="AU52" s="118"/>
      <c r="AV52" s="116"/>
      <c r="AW52" s="380"/>
      <c r="AX52" s="380"/>
      <c r="AY52" s="380"/>
      <c r="AZ52" s="380"/>
      <c r="BA52" s="380"/>
      <c r="BB52" s="116"/>
      <c r="BC52" s="379" t="s">
        <v>719</v>
      </c>
      <c r="BD52" s="389">
        <f>BD51*(1+$BJ$52)</f>
        <v>1209.4069999999999</v>
      </c>
      <c r="BE52" s="389">
        <f>BE51*(1+$BJ$52)</f>
        <v>1208.3999999999999</v>
      </c>
      <c r="BF52" s="116"/>
      <c r="BG52" s="120">
        <f>BD52/BD48-1</f>
        <v>3.8117596566523471E-2</v>
      </c>
      <c r="BH52" s="120">
        <f>BE52/BE48-1</f>
        <v>3.8144329896907081E-2</v>
      </c>
      <c r="BI52" s="390"/>
      <c r="BJ52" s="120">
        <v>7.0000000000000001E-3</v>
      </c>
      <c r="BK52" s="373">
        <v>43617</v>
      </c>
      <c r="BL52" s="374">
        <v>17.7</v>
      </c>
      <c r="BM52" s="363">
        <f t="shared" si="32"/>
        <v>7.2727272727272751E-2</v>
      </c>
      <c r="BN52" s="118">
        <f>(BM52*71500+BM52*(209200-71500)/2)/2169000</f>
        <v>4.7059809715411394E-3</v>
      </c>
      <c r="BO52" s="116"/>
      <c r="BP52" s="350">
        <v>43617</v>
      </c>
      <c r="BQ52" s="391">
        <f>AF52*VLOOKUP(TEXT(YEAR($BS$1),"0000Q"&amp;(MONTH($BS$1)/3)),$N$3:$O$55,2)/$O52</f>
        <v>33.4</v>
      </c>
      <c r="BR52" s="391">
        <f>AK52*VLOOKUP(TEXT(YEAR($BS$1),"0000Q"&amp;(MONTH($BS$1)/3)),$N$3:$O$55,2)/$O52</f>
        <v>38.44</v>
      </c>
      <c r="BS52" s="391">
        <f>AP52*VLOOKUP(TEXT(YEAR($BS$1),"0000Q"&amp;(MONTH($BS$1)/3)),$N$3:$O$55,2)/$O52</f>
        <v>32.04</v>
      </c>
      <c r="BT52" s="116"/>
      <c r="BU52" s="116"/>
      <c r="BV52" s="379" t="s">
        <v>719</v>
      </c>
      <c r="BW52" s="389">
        <f t="shared" ref="BW52:BY56" si="72">BW51*(1+$BJ52)</f>
        <v>1151.001</v>
      </c>
      <c r="BX52" s="389">
        <f t="shared" si="72"/>
        <v>1175.1689999999999</v>
      </c>
      <c r="BY52" s="389">
        <f t="shared" si="72"/>
        <v>1168.1199999999999</v>
      </c>
      <c r="BZ52" s="120">
        <f t="shared" si="69"/>
        <v>2.5566286215978895E-2</v>
      </c>
      <c r="CA52" s="120">
        <f t="shared" si="70"/>
        <v>4.0893711248892739E-2</v>
      </c>
      <c r="CB52" s="120">
        <f t="shared" si="70"/>
        <v>2.5566286215978895E-2</v>
      </c>
      <c r="CC52" s="380"/>
      <c r="CD52" s="379" t="s">
        <v>719</v>
      </c>
      <c r="CE52" s="389">
        <f>CE51*(1+$BJ52)</f>
        <v>1241.6309999999999</v>
      </c>
      <c r="CF52" s="120">
        <f t="shared" si="41"/>
        <v>3.4692499999999793E-2</v>
      </c>
      <c r="CG52" s="120">
        <f t="shared" si="37"/>
        <v>6.9999999999998952E-3</v>
      </c>
      <c r="CH52" s="389">
        <f>CH51*(1+$BJ52)</f>
        <v>1198.33</v>
      </c>
      <c r="CI52" s="120">
        <f t="shared" si="20"/>
        <v>2.0724020442930202E-2</v>
      </c>
      <c r="CJ52" s="120">
        <f>$BJ52</f>
        <v>7.0000000000000001E-3</v>
      </c>
      <c r="CK52" s="380"/>
      <c r="CL52" s="379" t="s">
        <v>719</v>
      </c>
      <c r="CM52" s="389">
        <f t="shared" ref="CM52:CO56" si="73">CM51*(1+$BJ52)</f>
        <v>1151.001</v>
      </c>
      <c r="CN52" s="389">
        <f t="shared" si="73"/>
        <v>1209.4069999999999</v>
      </c>
      <c r="CO52" s="389">
        <f t="shared" si="73"/>
        <v>1175.1689999999999</v>
      </c>
      <c r="CP52" s="116"/>
      <c r="CQ52" s="282" t="s">
        <v>456</v>
      </c>
      <c r="CR52" s="282"/>
      <c r="CS52" s="282"/>
      <c r="CT52" s="282"/>
      <c r="CU52" s="282"/>
      <c r="CV52" s="255"/>
      <c r="CW52" s="248" t="s">
        <v>687</v>
      </c>
      <c r="CX52">
        <v>870.57877800000006</v>
      </c>
      <c r="CY52">
        <v>871.38263700000005</v>
      </c>
      <c r="CZ52" t="s">
        <v>634</v>
      </c>
      <c r="DB52" s="350">
        <v>41426</v>
      </c>
      <c r="DC52" s="88">
        <f t="shared" si="59"/>
        <v>1438.3530000000001</v>
      </c>
      <c r="DD52" s="88">
        <f t="shared" si="57"/>
        <v>1336.056</v>
      </c>
      <c r="DE52" s="89">
        <f t="shared" si="33"/>
        <v>1.6129032258064502E-2</v>
      </c>
      <c r="DF52" s="89">
        <f t="shared" si="33"/>
        <v>1.7045454545454586E-2</v>
      </c>
      <c r="DG52" s="89">
        <f t="shared" si="63"/>
        <v>1.4218009478673022E-2</v>
      </c>
      <c r="DH52" s="248" t="s">
        <v>715</v>
      </c>
      <c r="DI52">
        <v>21.89</v>
      </c>
      <c r="DJ52">
        <v>17.2</v>
      </c>
      <c r="DK52">
        <v>18.11</v>
      </c>
      <c r="DM52" s="353">
        <v>36951</v>
      </c>
      <c r="DN52">
        <v>18.309999999999999</v>
      </c>
      <c r="DO52">
        <v>18.11</v>
      </c>
      <c r="DP52" s="365">
        <f t="shared" si="61"/>
        <v>1.440443213296394E-2</v>
      </c>
      <c r="DQ52" s="365">
        <f t="shared" si="61"/>
        <v>3.1321184510250566E-2</v>
      </c>
      <c r="DR52" s="365">
        <f t="shared" si="64"/>
        <v>6.2708652409808607E-3</v>
      </c>
      <c r="DS52" s="365">
        <f t="shared" si="64"/>
        <v>2.3272707567352224E-2</v>
      </c>
      <c r="DT52" s="255"/>
      <c r="DU52" s="367">
        <v>39417</v>
      </c>
      <c r="DV52" s="368">
        <v>96.2</v>
      </c>
      <c r="DW52" s="368">
        <v>96.5</v>
      </c>
      <c r="DX52" s="369">
        <v>96</v>
      </c>
      <c r="DY52" s="367">
        <v>21520</v>
      </c>
      <c r="DZ52" s="368">
        <v>7.3</v>
      </c>
      <c r="EJ52" s="248" t="s">
        <v>639</v>
      </c>
      <c r="EK52" s="95">
        <v>72467800</v>
      </c>
      <c r="EL52" s="95">
        <v>794567000</v>
      </c>
      <c r="EN52" s="248" t="s">
        <v>639</v>
      </c>
      <c r="EO52" s="95">
        <v>3957100</v>
      </c>
      <c r="EP52" s="95">
        <v>43446600</v>
      </c>
      <c r="ER52" s="352">
        <f t="shared" si="14"/>
        <v>18.313360794521241</v>
      </c>
      <c r="ES52" s="352">
        <f t="shared" si="14"/>
        <v>18.288358582719937</v>
      </c>
      <c r="ET52" s="89">
        <f t="shared" si="62"/>
        <v>3.0731553199385475E-2</v>
      </c>
      <c r="EU52" s="89">
        <f t="shared" si="62"/>
        <v>3.357054764666878E-2</v>
      </c>
      <c r="EV52" s="350">
        <v>37043</v>
      </c>
      <c r="EW52" s="352">
        <f t="shared" si="60"/>
        <v>18.133361552487628</v>
      </c>
      <c r="EX52" s="352">
        <f t="shared" si="60"/>
        <v>18.051323704761693</v>
      </c>
      <c r="EY52" s="89">
        <f t="shared" si="65"/>
        <v>1.1652130008613426E-2</v>
      </c>
      <c r="EZ52" s="89">
        <f t="shared" si="65"/>
        <v>2.7013398955520351E-2</v>
      </c>
    </row>
    <row r="53" spans="1:156" ht="15" customHeight="1">
      <c r="A53" s="373"/>
      <c r="B53" s="379"/>
      <c r="C53" s="382"/>
      <c r="D53" s="120"/>
      <c r="E53" s="380"/>
      <c r="F53" s="379"/>
      <c r="G53" s="382"/>
      <c r="H53" s="120"/>
      <c r="I53" s="382"/>
      <c r="J53" s="120"/>
      <c r="K53" s="382"/>
      <c r="L53" s="120"/>
      <c r="M53" s="380"/>
      <c r="N53" s="379" t="s">
        <v>720</v>
      </c>
      <c r="O53" s="382">
        <f>O52*(1+Q53)</f>
        <v>1037.3167799999999</v>
      </c>
      <c r="P53" s="56">
        <f>O53/O49-1</f>
        <v>1.3004667968749883E-2</v>
      </c>
      <c r="Q53" s="120">
        <v>6.0000000000000001E-3</v>
      </c>
      <c r="R53" s="386">
        <f t="shared" si="43"/>
        <v>1017.0448548928251</v>
      </c>
      <c r="S53" s="56">
        <f t="shared" si="71"/>
        <v>1.3004667968749883E-2</v>
      </c>
      <c r="T53" s="56">
        <f t="shared" si="71"/>
        <v>6.0000000000000001E-3</v>
      </c>
      <c r="U53" s="380"/>
      <c r="V53" s="379"/>
      <c r="W53" s="382"/>
      <c r="X53" s="120"/>
      <c r="Y53" s="389"/>
      <c r="Z53" s="120"/>
      <c r="AA53" s="120"/>
      <c r="AB53" s="380"/>
      <c r="AC53" s="379"/>
      <c r="AD53" s="387"/>
      <c r="AE53" s="387"/>
      <c r="AF53" s="388"/>
      <c r="AG53" s="120"/>
      <c r="AH53" s="120"/>
      <c r="AI53" s="116"/>
      <c r="AJ53" s="379"/>
      <c r="AK53" s="387"/>
      <c r="AL53" s="120"/>
      <c r="AM53" s="120"/>
      <c r="AN53" s="116"/>
      <c r="AO53" s="379" t="s">
        <v>720</v>
      </c>
      <c r="AP53" s="388"/>
      <c r="AQ53" s="120"/>
      <c r="AR53" s="120"/>
      <c r="AS53" s="380"/>
      <c r="AT53" s="116"/>
      <c r="AU53" s="118"/>
      <c r="AV53" s="116"/>
      <c r="AW53" s="380"/>
      <c r="AX53" s="380"/>
      <c r="AY53" s="380"/>
      <c r="AZ53" s="380"/>
      <c r="BA53" s="380"/>
      <c r="BB53" s="116"/>
      <c r="BC53" s="379"/>
      <c r="BD53" s="389"/>
      <c r="BE53" s="389"/>
      <c r="BF53" s="116"/>
      <c r="BG53" s="118"/>
      <c r="BH53" s="118"/>
      <c r="BI53" s="390"/>
      <c r="BJ53" s="392">
        <v>5.0000000000000001E-3</v>
      </c>
      <c r="BK53" s="373">
        <v>43709</v>
      </c>
      <c r="BL53" s="374">
        <v>17.7</v>
      </c>
      <c r="BM53" s="118">
        <f t="shared" si="32"/>
        <v>7.2727272727272751E-2</v>
      </c>
      <c r="BN53" s="116"/>
      <c r="BO53" s="116"/>
      <c r="BP53" s="373"/>
      <c r="BQ53" s="387"/>
      <c r="BR53" s="387"/>
      <c r="BS53" s="387"/>
      <c r="BT53" s="116"/>
      <c r="BU53" s="116"/>
      <c r="BV53" s="379" t="s">
        <v>720</v>
      </c>
      <c r="BW53" s="389">
        <f t="shared" si="72"/>
        <v>1156.756005</v>
      </c>
      <c r="BX53" s="389">
        <f t="shared" si="72"/>
        <v>1181.0448449999997</v>
      </c>
      <c r="BY53" s="389">
        <f t="shared" si="72"/>
        <v>1173.9605999999997</v>
      </c>
      <c r="BZ53" s="120">
        <f t="shared" si="69"/>
        <v>2.5293100436680982E-2</v>
      </c>
      <c r="CA53" s="120">
        <f t="shared" si="70"/>
        <v>3.509627081507416E-2</v>
      </c>
      <c r="CB53" s="120">
        <f t="shared" si="70"/>
        <v>2.5293100436680982E-2</v>
      </c>
      <c r="CC53" s="380"/>
      <c r="CD53" s="379" t="s">
        <v>720</v>
      </c>
      <c r="CE53" s="389">
        <f>CE52*(1+$BJ53)</f>
        <v>1247.8391549999997</v>
      </c>
      <c r="CF53" s="120">
        <f t="shared" si="41"/>
        <v>2.2818979508196335E-2</v>
      </c>
      <c r="CG53" s="120">
        <f t="shared" si="37"/>
        <v>4.9999999999998934E-3</v>
      </c>
      <c r="CH53" s="389">
        <f>CH52*(1+$BJ53)</f>
        <v>1204.3216499999999</v>
      </c>
      <c r="CI53" s="120">
        <f t="shared" si="20"/>
        <v>2.0611567796610109E-2</v>
      </c>
      <c r="CJ53" s="120">
        <f>$BJ53</f>
        <v>5.0000000000000001E-3</v>
      </c>
      <c r="CK53" s="380"/>
      <c r="CL53" s="379" t="s">
        <v>720</v>
      </c>
      <c r="CM53" s="389">
        <f t="shared" si="73"/>
        <v>1156.756005</v>
      </c>
      <c r="CN53" s="389">
        <f t="shared" si="73"/>
        <v>1215.4540349999997</v>
      </c>
      <c r="CO53" s="389">
        <f t="shared" si="73"/>
        <v>1181.0448449999997</v>
      </c>
      <c r="CP53" s="116"/>
      <c r="CQ53" s="282" t="s">
        <v>459</v>
      </c>
      <c r="CR53" s="282"/>
      <c r="CS53" s="282"/>
      <c r="CT53" s="282"/>
      <c r="CU53" s="282"/>
      <c r="CV53" s="255"/>
      <c r="CW53" s="248" t="s">
        <v>689</v>
      </c>
      <c r="CX53">
        <v>875.401929</v>
      </c>
      <c r="CY53">
        <v>875.401929</v>
      </c>
      <c r="CZ53" t="s">
        <v>634</v>
      </c>
      <c r="DB53" s="350">
        <v>41518</v>
      </c>
      <c r="DC53" s="88">
        <f t="shared" si="59"/>
        <v>1442.3820000000001</v>
      </c>
      <c r="DD53" s="88">
        <f t="shared" si="57"/>
        <v>1342.2760000000001</v>
      </c>
      <c r="DE53" s="89">
        <f t="shared" si="33"/>
        <v>1.6083254493850507E-2</v>
      </c>
      <c r="DF53" s="89">
        <f t="shared" si="33"/>
        <v>1.6965127238454336E-2</v>
      </c>
      <c r="DG53" s="89">
        <f t="shared" si="63"/>
        <v>1.6113744075829439E-2</v>
      </c>
      <c r="DH53" s="248" t="s">
        <v>639</v>
      </c>
      <c r="DI53">
        <v>22.07</v>
      </c>
      <c r="DJ53">
        <v>17.350000000000001</v>
      </c>
      <c r="DK53">
        <v>18.29</v>
      </c>
      <c r="DM53" s="353">
        <v>37043</v>
      </c>
      <c r="DN53">
        <v>18.309999999999999</v>
      </c>
      <c r="DO53">
        <v>18.29</v>
      </c>
      <c r="DP53" s="365">
        <f t="shared" si="61"/>
        <v>3.0388294879009514E-2</v>
      </c>
      <c r="DQ53" s="365">
        <f t="shared" si="61"/>
        <v>3.3917467495760301E-2</v>
      </c>
      <c r="DR53" s="365">
        <f t="shared" si="64"/>
        <v>1.154011361677787E-2</v>
      </c>
      <c r="DS53" s="365">
        <f t="shared" si="64"/>
        <v>2.684707560273436E-2</v>
      </c>
      <c r="DT53" s="255"/>
      <c r="DU53" s="367">
        <v>39508</v>
      </c>
      <c r="DV53" s="368">
        <v>96.8</v>
      </c>
      <c r="DW53" s="368">
        <v>97.1</v>
      </c>
      <c r="DX53" s="369">
        <v>96.5</v>
      </c>
      <c r="DY53" s="367">
        <v>21610</v>
      </c>
      <c r="DZ53" s="368">
        <v>7.3</v>
      </c>
      <c r="EJ53" s="248" t="s">
        <v>643</v>
      </c>
      <c r="EK53" s="95">
        <v>76971900</v>
      </c>
      <c r="EL53" s="95">
        <v>795200400</v>
      </c>
      <c r="EN53" s="248" t="s">
        <v>643</v>
      </c>
      <c r="EO53" s="95">
        <v>4089900</v>
      </c>
      <c r="EP53" s="95">
        <v>43011200</v>
      </c>
      <c r="ER53" s="352">
        <f t="shared" si="14"/>
        <v>18.819995598914399</v>
      </c>
      <c r="ES53" s="352">
        <f t="shared" si="14"/>
        <v>18.488217022542965</v>
      </c>
      <c r="ET53" s="89">
        <f t="shared" si="62"/>
        <v>5.1971934267938558E-2</v>
      </c>
      <c r="EU53" s="89">
        <f t="shared" si="62"/>
        <v>3.474693326284406E-2</v>
      </c>
      <c r="EV53" s="350">
        <v>37135</v>
      </c>
      <c r="EW53" s="352">
        <f t="shared" si="60"/>
        <v>18.372745490981963</v>
      </c>
      <c r="EX53" s="352">
        <f t="shared" si="60"/>
        <v>18.205122417277742</v>
      </c>
      <c r="EY53" s="89">
        <f t="shared" si="65"/>
        <v>2.5933127692691516E-2</v>
      </c>
      <c r="EZ53" s="89">
        <f t="shared" si="65"/>
        <v>3.132866153380176E-2</v>
      </c>
    </row>
    <row r="54" spans="1:156" ht="15" customHeight="1">
      <c r="A54" s="373"/>
      <c r="B54" s="379"/>
      <c r="C54" s="382"/>
      <c r="D54" s="120"/>
      <c r="E54" s="380"/>
      <c r="F54" s="379"/>
      <c r="G54" s="382"/>
      <c r="H54" s="120"/>
      <c r="I54" s="382"/>
      <c r="J54" s="120"/>
      <c r="K54" s="382"/>
      <c r="L54" s="120"/>
      <c r="M54" s="380"/>
      <c r="N54" s="379" t="s">
        <v>721</v>
      </c>
      <c r="O54" s="382">
        <f>O53*(1+Q54)</f>
        <v>1039.3914135599998</v>
      </c>
      <c r="P54" s="56">
        <f>O54/O50-1</f>
        <v>1.4040403473170482E-2</v>
      </c>
      <c r="Q54" s="120">
        <v>2E-3</v>
      </c>
      <c r="R54" s="386">
        <f t="shared" si="43"/>
        <v>1019.0789446026108</v>
      </c>
      <c r="S54" s="56">
        <f t="shared" si="71"/>
        <v>1.4040403473170482E-2</v>
      </c>
      <c r="T54" s="56">
        <f t="shared" si="71"/>
        <v>2E-3</v>
      </c>
      <c r="U54" s="380"/>
      <c r="V54" s="379"/>
      <c r="W54" s="382"/>
      <c r="X54" s="120"/>
      <c r="Y54" s="389"/>
      <c r="Z54" s="120"/>
      <c r="AA54" s="120"/>
      <c r="AB54" s="380"/>
      <c r="AC54" s="379"/>
      <c r="AD54" s="387"/>
      <c r="AE54" s="387"/>
      <c r="AF54" s="388"/>
      <c r="AG54" s="120"/>
      <c r="AH54" s="120"/>
      <c r="AI54" s="116"/>
      <c r="AJ54" s="379"/>
      <c r="AK54" s="387"/>
      <c r="AL54" s="120"/>
      <c r="AM54" s="120"/>
      <c r="AN54" s="116"/>
      <c r="AO54" s="379" t="s">
        <v>721</v>
      </c>
      <c r="AP54" s="388"/>
      <c r="AQ54" s="120"/>
      <c r="AR54" s="120"/>
      <c r="AS54" s="380"/>
      <c r="AT54" s="116"/>
      <c r="AU54" s="118"/>
      <c r="AV54" s="116"/>
      <c r="AW54" s="380"/>
      <c r="AX54" s="380"/>
      <c r="AY54" s="380"/>
      <c r="AZ54" s="380"/>
      <c r="BA54" s="380"/>
      <c r="BB54" s="116"/>
      <c r="BC54" s="379"/>
      <c r="BD54" s="389"/>
      <c r="BE54" s="389"/>
      <c r="BF54" s="116"/>
      <c r="BG54" s="118"/>
      <c r="BH54" s="118"/>
      <c r="BI54" s="390"/>
      <c r="BJ54" s="392">
        <v>4.0000000000000001E-3</v>
      </c>
      <c r="BK54" s="373">
        <v>43800</v>
      </c>
      <c r="BL54" s="374">
        <v>17.7</v>
      </c>
      <c r="BM54" s="118">
        <f t="shared" si="32"/>
        <v>7.2727272727272751E-2</v>
      </c>
      <c r="BN54" s="116"/>
      <c r="BO54" s="116"/>
      <c r="BP54" s="373"/>
      <c r="BQ54" s="387"/>
      <c r="BR54" s="387"/>
      <c r="BS54" s="387"/>
      <c r="BT54" s="116"/>
      <c r="BU54" s="116"/>
      <c r="BV54" s="379" t="s">
        <v>721</v>
      </c>
      <c r="BW54" s="389">
        <f t="shared" si="72"/>
        <v>1161.3830290199999</v>
      </c>
      <c r="BX54" s="389">
        <f t="shared" si="72"/>
        <v>1185.7690243799996</v>
      </c>
      <c r="BY54" s="389">
        <f t="shared" si="72"/>
        <v>1178.6564423999996</v>
      </c>
      <c r="BZ54" s="120">
        <f t="shared" si="69"/>
        <v>2.3139272916666398E-2</v>
      </c>
      <c r="CA54" s="120">
        <f t="shared" si="70"/>
        <v>2.5751751193771266E-2</v>
      </c>
      <c r="CB54" s="120">
        <f t="shared" si="70"/>
        <v>2.3139272916666398E-2</v>
      </c>
      <c r="CC54" s="380"/>
      <c r="CD54" s="379" t="s">
        <v>721</v>
      </c>
      <c r="CE54" s="389">
        <f>CE53*(1+$BJ54)</f>
        <v>1252.8305116199997</v>
      </c>
      <c r="CF54" s="120">
        <f t="shared" si="41"/>
        <v>2.1051761711491146E-2</v>
      </c>
      <c r="CG54" s="120">
        <f t="shared" si="37"/>
        <v>4.0000000000000036E-3</v>
      </c>
      <c r="CH54" s="389">
        <f>CH53*(1+$BJ54)</f>
        <v>1209.1389365999999</v>
      </c>
      <c r="CI54" s="120">
        <f t="shared" si="20"/>
        <v>1.9510064586846454E-2</v>
      </c>
      <c r="CJ54" s="120">
        <f>$BJ54</f>
        <v>4.0000000000000001E-3</v>
      </c>
      <c r="CK54" s="380"/>
      <c r="CL54" s="379" t="s">
        <v>721</v>
      </c>
      <c r="CM54" s="389">
        <f t="shared" si="73"/>
        <v>1161.3830290199999</v>
      </c>
      <c r="CN54" s="389">
        <f t="shared" si="73"/>
        <v>1220.3158511399997</v>
      </c>
      <c r="CO54" s="389">
        <f t="shared" si="73"/>
        <v>1185.7690243799996</v>
      </c>
      <c r="CP54" s="116"/>
      <c r="CQ54" s="282" t="s">
        <v>462</v>
      </c>
      <c r="CR54" s="282"/>
      <c r="CS54" s="282"/>
      <c r="CT54" s="282"/>
      <c r="CU54" s="282"/>
      <c r="CV54" s="255"/>
      <c r="CW54" s="248" t="s">
        <v>691</v>
      </c>
      <c r="CX54">
        <v>881.02893900000004</v>
      </c>
      <c r="CY54">
        <v>881.83279700000003</v>
      </c>
      <c r="CZ54">
        <v>870.4</v>
      </c>
      <c r="DB54" s="350">
        <v>41609</v>
      </c>
      <c r="DC54" s="88">
        <f t="shared" si="59"/>
        <v>1447.7539999999999</v>
      </c>
      <c r="DD54" s="88">
        <f t="shared" si="57"/>
        <v>1347.252</v>
      </c>
      <c r="DE54" s="89">
        <f t="shared" si="33"/>
        <v>1.6981132075471583E-2</v>
      </c>
      <c r="DF54" s="89">
        <f t="shared" si="33"/>
        <v>1.5947467166979257E-2</v>
      </c>
      <c r="DG54" s="89">
        <f t="shared" si="63"/>
        <v>1.5137180700094621E-2</v>
      </c>
      <c r="DH54" s="248" t="s">
        <v>643</v>
      </c>
      <c r="DI54">
        <v>22.53</v>
      </c>
      <c r="DJ54">
        <v>17.48</v>
      </c>
      <c r="DK54">
        <v>18.489999999999998</v>
      </c>
      <c r="DM54" s="353">
        <v>37135</v>
      </c>
      <c r="DN54">
        <v>18.82</v>
      </c>
      <c r="DO54">
        <v>18.489999999999998</v>
      </c>
      <c r="DP54" s="365">
        <f t="shared" si="61"/>
        <v>5.1984348798211233E-2</v>
      </c>
      <c r="DQ54" s="365">
        <f t="shared" si="61"/>
        <v>3.4695019585897935E-2</v>
      </c>
      <c r="DR54" s="365">
        <f t="shared" si="64"/>
        <v>2.5295278722633707E-2</v>
      </c>
      <c r="DS54" s="365">
        <f t="shared" si="64"/>
        <v>3.1265911811812375E-2</v>
      </c>
      <c r="DT54" s="255"/>
      <c r="DU54" s="367">
        <v>39600</v>
      </c>
      <c r="DV54" s="368">
        <v>97.3</v>
      </c>
      <c r="DW54" s="368">
        <v>97.6</v>
      </c>
      <c r="DX54" s="369">
        <v>96.9</v>
      </c>
      <c r="DY54" s="367">
        <v>21702</v>
      </c>
      <c r="DZ54" s="368">
        <v>7.3</v>
      </c>
      <c r="EJ54" s="248" t="s">
        <v>647</v>
      </c>
      <c r="EK54" s="95">
        <v>76646200</v>
      </c>
      <c r="EL54" s="95">
        <v>823292100</v>
      </c>
      <c r="EN54" s="248" t="s">
        <v>647</v>
      </c>
      <c r="EO54" s="95">
        <v>4110100</v>
      </c>
      <c r="EP54" s="95">
        <v>44422300</v>
      </c>
      <c r="ER54" s="352">
        <f t="shared" si="14"/>
        <v>18.648256733412811</v>
      </c>
      <c r="ES54" s="352">
        <f t="shared" si="14"/>
        <v>18.533306469948652</v>
      </c>
      <c r="ET54" s="89">
        <f t="shared" si="62"/>
        <v>3.5095100629362719E-2</v>
      </c>
      <c r="EU54" s="89">
        <f t="shared" si="62"/>
        <v>3.3636058792951173E-2</v>
      </c>
      <c r="EV54" s="350">
        <v>37226</v>
      </c>
      <c r="EW54" s="352">
        <f t="shared" si="60"/>
        <v>18.528665098039216</v>
      </c>
      <c r="EX54" s="352">
        <f t="shared" si="60"/>
        <v>18.357304877058596</v>
      </c>
      <c r="EY54" s="89">
        <f t="shared" si="65"/>
        <v>3.3390713103880199E-2</v>
      </c>
      <c r="EZ54" s="89">
        <f t="shared" si="65"/>
        <v>3.3402660625814651E-2</v>
      </c>
    </row>
    <row r="55" spans="1:156" ht="15" customHeight="1">
      <c r="A55" s="373"/>
      <c r="B55" s="379"/>
      <c r="C55" s="380"/>
      <c r="D55" s="380"/>
      <c r="E55" s="380"/>
      <c r="F55" s="379"/>
      <c r="G55" s="116"/>
      <c r="H55" s="116"/>
      <c r="I55" s="116"/>
      <c r="J55" s="116"/>
      <c r="K55" s="116"/>
      <c r="L55" s="116"/>
      <c r="M55" s="380"/>
      <c r="N55" s="379" t="s">
        <v>722</v>
      </c>
      <c r="O55" s="382">
        <f>O54*(1+Q55)</f>
        <v>1045.6277620413598</v>
      </c>
      <c r="P55" s="56">
        <f>O55/O51-1</f>
        <v>1.9130372359999814E-2</v>
      </c>
      <c r="Q55" s="120">
        <v>6.0000000000000001E-3</v>
      </c>
      <c r="R55" s="386">
        <f t="shared" si="43"/>
        <v>1025.1934182702264</v>
      </c>
      <c r="S55" s="56">
        <f t="shared" si="71"/>
        <v>1.9130372359999814E-2</v>
      </c>
      <c r="T55" s="56">
        <f t="shared" si="71"/>
        <v>6.0000000000000001E-3</v>
      </c>
      <c r="U55" s="380"/>
      <c r="V55" s="380"/>
      <c r="W55" s="380"/>
      <c r="X55" s="380"/>
      <c r="Y55" s="380"/>
      <c r="Z55" s="380"/>
      <c r="AA55" s="380"/>
      <c r="AB55" s="380"/>
      <c r="AC55" s="116"/>
      <c r="AD55" s="116"/>
      <c r="AE55" s="116"/>
      <c r="AF55" s="116"/>
      <c r="AG55" s="118"/>
      <c r="AH55" s="118"/>
      <c r="AI55" s="116"/>
      <c r="AJ55" s="116"/>
      <c r="AK55" s="116"/>
      <c r="AL55" s="118"/>
      <c r="AM55" s="118"/>
      <c r="AN55" s="116"/>
      <c r="AO55" s="379" t="s">
        <v>722</v>
      </c>
      <c r="AP55" s="388"/>
      <c r="AQ55" s="120"/>
      <c r="AR55" s="120"/>
      <c r="AS55" s="380"/>
      <c r="AT55" s="379"/>
      <c r="AU55" s="118"/>
      <c r="AV55" s="116"/>
      <c r="AW55" s="380"/>
      <c r="AX55" s="380"/>
      <c r="AY55" s="380"/>
      <c r="AZ55" s="380"/>
      <c r="BA55" s="380"/>
      <c r="BB55" s="116"/>
      <c r="BC55" s="116"/>
      <c r="BD55" s="116"/>
      <c r="BE55" s="116"/>
      <c r="BF55" s="116"/>
      <c r="BG55" s="116"/>
      <c r="BH55" s="116"/>
      <c r="BI55" s="390"/>
      <c r="BJ55" s="392">
        <v>4.0000000000000001E-3</v>
      </c>
      <c r="BK55" s="373">
        <v>43891</v>
      </c>
      <c r="BL55" s="374">
        <v>17.7</v>
      </c>
      <c r="BM55" s="118">
        <f t="shared" si="32"/>
        <v>7.2727272727272751E-2</v>
      </c>
      <c r="BP55" s="373"/>
      <c r="BQ55" s="374"/>
      <c r="BR55" s="374"/>
      <c r="BS55" s="374"/>
      <c r="BT55" s="116"/>
      <c r="BU55" s="116"/>
      <c r="BV55" s="379" t="s">
        <v>722</v>
      </c>
      <c r="BW55" s="389">
        <f t="shared" si="72"/>
        <v>1166.0285611360798</v>
      </c>
      <c r="BX55" s="389">
        <f t="shared" si="72"/>
        <v>1190.5121004775197</v>
      </c>
      <c r="BY55" s="389">
        <f t="shared" si="72"/>
        <v>1183.3710681695995</v>
      </c>
      <c r="BZ55" s="120">
        <f t="shared" si="69"/>
        <v>2.0147472559999713E-2</v>
      </c>
      <c r="CA55" s="120">
        <f t="shared" si="70"/>
        <v>2.0147472559999713E-2</v>
      </c>
      <c r="CB55" s="120">
        <f t="shared" si="70"/>
        <v>2.0147472559999713E-2</v>
      </c>
      <c r="CC55" s="380"/>
      <c r="CD55" s="379" t="s">
        <v>722</v>
      </c>
      <c r="CE55" s="389">
        <f>CE54*(1+$BJ55)</f>
        <v>1257.8418336664797</v>
      </c>
      <c r="CF55" s="120">
        <f t="shared" si="41"/>
        <v>2.0147472559999713E-2</v>
      </c>
      <c r="CG55" s="120">
        <f t="shared" si="37"/>
        <v>4.0000000000000036E-3</v>
      </c>
      <c r="CH55" s="389">
        <f>CH54*(1+$BJ55)</f>
        <v>1213.9754923464</v>
      </c>
      <c r="CI55" s="120">
        <f t="shared" si="20"/>
        <v>2.0147472559999935E-2</v>
      </c>
      <c r="CJ55" s="120">
        <f>$BJ55</f>
        <v>4.0000000000000001E-3</v>
      </c>
      <c r="CK55" s="380"/>
      <c r="CL55" s="379" t="s">
        <v>722</v>
      </c>
      <c r="CM55" s="389">
        <f t="shared" si="73"/>
        <v>1166.0285611360798</v>
      </c>
      <c r="CN55" s="389">
        <f t="shared" si="73"/>
        <v>1225.1971145445598</v>
      </c>
      <c r="CO55" s="389">
        <f t="shared" si="73"/>
        <v>1190.5121004775197</v>
      </c>
      <c r="CP55" s="116"/>
      <c r="CQ55" s="282"/>
      <c r="CR55" s="282"/>
      <c r="CS55" s="282"/>
      <c r="CT55" s="282"/>
      <c r="CU55" s="282"/>
      <c r="CV55" s="255"/>
      <c r="CW55" s="248" t="s">
        <v>693</v>
      </c>
      <c r="CX55">
        <v>890.67524100000003</v>
      </c>
      <c r="CY55">
        <v>890.67524100000003</v>
      </c>
      <c r="CZ55" t="s">
        <v>634</v>
      </c>
      <c r="DB55" s="350">
        <v>41699</v>
      </c>
      <c r="DC55" s="88">
        <f t="shared" si="59"/>
        <v>1449.097</v>
      </c>
      <c r="DD55" s="88">
        <f t="shared" si="57"/>
        <v>1352.2280000000001</v>
      </c>
      <c r="DE55" s="89">
        <f t="shared" si="33"/>
        <v>1.4097744360902276E-2</v>
      </c>
      <c r="DF55" s="89">
        <f t="shared" si="33"/>
        <v>1.588785046728991E-2</v>
      </c>
      <c r="DG55" s="89">
        <f t="shared" si="63"/>
        <v>1.1310084825636224E-2</v>
      </c>
      <c r="DH55" s="248" t="s">
        <v>647</v>
      </c>
      <c r="DI55">
        <v>22.77</v>
      </c>
      <c r="DJ55">
        <v>17.510000000000002</v>
      </c>
      <c r="DK55">
        <v>18.53</v>
      </c>
      <c r="DM55" s="353">
        <v>37226</v>
      </c>
      <c r="DN55">
        <v>18.649999999999999</v>
      </c>
      <c r="DO55">
        <v>18.53</v>
      </c>
      <c r="DP55" s="365">
        <f t="shared" si="61"/>
        <v>3.4961154273029926E-2</v>
      </c>
      <c r="DQ55" s="365">
        <f t="shared" si="61"/>
        <v>3.3463469046291161E-2</v>
      </c>
      <c r="DR55" s="365">
        <f t="shared" si="64"/>
        <v>3.2847840087005586E-2</v>
      </c>
      <c r="DS55" s="365">
        <f t="shared" si="64"/>
        <v>3.3348527458348931E-2</v>
      </c>
      <c r="DT55" s="255"/>
      <c r="DU55" s="367">
        <v>39692</v>
      </c>
      <c r="DV55" s="368">
        <v>98.3</v>
      </c>
      <c r="DW55" s="368">
        <v>98.4</v>
      </c>
      <c r="DX55" s="369">
        <v>98</v>
      </c>
      <c r="DY55" s="367">
        <v>21794</v>
      </c>
      <c r="DZ55" s="368">
        <v>7.4</v>
      </c>
      <c r="EJ55" s="248" t="s">
        <v>650</v>
      </c>
      <c r="EK55" s="95">
        <v>77538200</v>
      </c>
      <c r="EL55" s="95">
        <v>840523600</v>
      </c>
      <c r="EN55" s="248" t="s">
        <v>650</v>
      </c>
      <c r="EO55" s="95">
        <v>4094600</v>
      </c>
      <c r="EP55" s="95">
        <v>44770700</v>
      </c>
      <c r="ER55" s="352">
        <f t="shared" si="14"/>
        <v>18.936697113271137</v>
      </c>
      <c r="ES55" s="352">
        <f t="shared" si="14"/>
        <v>18.77396600901929</v>
      </c>
      <c r="ET55" s="89">
        <f t="shared" si="62"/>
        <v>3.4293145343549769E-2</v>
      </c>
      <c r="EU55" s="89">
        <f t="shared" si="62"/>
        <v>3.6495618205758973E-2</v>
      </c>
      <c r="EV55" s="350">
        <v>37316</v>
      </c>
      <c r="EW55" s="352">
        <f t="shared" ref="EW55:EX70" si="74">SUM(EK52:EK55)/SUM(EO52:EO55)</f>
        <v>18.682605512038741</v>
      </c>
      <c r="EX55" s="352">
        <f t="shared" si="74"/>
        <v>18.523018967178061</v>
      </c>
      <c r="EY55" s="89">
        <f t="shared" si="65"/>
        <v>3.8131363442497346E-2</v>
      </c>
      <c r="EZ55" s="89">
        <f t="shared" si="65"/>
        <v>3.4654519069702516E-2</v>
      </c>
    </row>
    <row r="56" spans="1:156" ht="15" customHeight="1">
      <c r="A56" s="373"/>
      <c r="B56" s="248" t="s">
        <v>723</v>
      </c>
      <c r="C56" s="393">
        <f>C43/C3-1</f>
        <v>0.16844186049228949</v>
      </c>
      <c r="D56" s="255"/>
      <c r="E56" s="255"/>
      <c r="F56" s="248"/>
      <c r="G56" s="393">
        <f>G43/G3-1</f>
        <v>0.14473684210526305</v>
      </c>
      <c r="I56" s="393">
        <f>I43/I3-1</f>
        <v>0.15458422174840081</v>
      </c>
      <c r="K56" s="393">
        <f>K43/K3-1</f>
        <v>0.22799097065462748</v>
      </c>
      <c r="M56" s="255"/>
      <c r="N56" s="248" t="s">
        <v>724</v>
      </c>
      <c r="O56" s="382">
        <f>O55*(1+Q56)</f>
        <v>1050.8559008515665</v>
      </c>
      <c r="P56" s="56">
        <v>0.02</v>
      </c>
      <c r="Q56" s="120">
        <v>5.0000000000000001E-3</v>
      </c>
      <c r="R56" s="386">
        <f t="shared" si="43"/>
        <v>1030.3193853615774</v>
      </c>
      <c r="S56" s="56">
        <f t="shared" si="71"/>
        <v>0.02</v>
      </c>
      <c r="T56" s="56">
        <f t="shared" si="71"/>
        <v>5.0000000000000001E-3</v>
      </c>
      <c r="U56" s="255"/>
      <c r="V56" s="255"/>
      <c r="W56" s="393"/>
      <c r="X56" s="255"/>
      <c r="Y56" s="393"/>
      <c r="Z56" s="393"/>
      <c r="AA56" s="255"/>
      <c r="AB56" s="255"/>
      <c r="AG56" s="89"/>
      <c r="AH56" s="89"/>
      <c r="AL56" s="89"/>
      <c r="AM56" s="89"/>
      <c r="AO56" s="248" t="s">
        <v>724</v>
      </c>
      <c r="AP56" s="388">
        <f>AP52*(1+AQ56)</f>
        <v>33.26280659999999</v>
      </c>
      <c r="AQ56" s="120">
        <v>3.3000000000000002E-2</v>
      </c>
      <c r="AR56" s="120"/>
      <c r="AS56" s="255"/>
      <c r="AT56" s="248"/>
      <c r="AU56" s="89"/>
      <c r="AW56" s="255"/>
      <c r="AX56" s="255"/>
      <c r="AY56" s="255"/>
      <c r="AZ56" s="255"/>
      <c r="BA56" s="255"/>
      <c r="BI56" s="390"/>
      <c r="BJ56" s="392">
        <v>8.0000000000000002E-3</v>
      </c>
      <c r="BK56" s="373">
        <v>43983</v>
      </c>
      <c r="BL56" s="374">
        <v>18.899999999999999</v>
      </c>
      <c r="BM56" s="363">
        <f t="shared" si="32"/>
        <v>6.7796610169491567E-2</v>
      </c>
      <c r="BP56" s="350"/>
      <c r="BQ56" s="352"/>
      <c r="BR56" s="352"/>
      <c r="BS56" s="352"/>
      <c r="BV56" s="248" t="s">
        <v>724</v>
      </c>
      <c r="BW56" s="389">
        <f t="shared" si="72"/>
        <v>1175.3567896251684</v>
      </c>
      <c r="BX56" s="389">
        <f t="shared" si="72"/>
        <v>1200.0361972813398</v>
      </c>
      <c r="BY56" s="389">
        <f t="shared" si="72"/>
        <v>1192.8380367149564</v>
      </c>
      <c r="BZ56" s="120">
        <f t="shared" si="69"/>
        <v>2.1160528639999843E-2</v>
      </c>
      <c r="CA56" s="120">
        <f t="shared" si="70"/>
        <v>2.1160528639999843E-2</v>
      </c>
      <c r="CB56" s="120">
        <f t="shared" si="70"/>
        <v>2.1160528639999843E-2</v>
      </c>
      <c r="CC56" s="255"/>
      <c r="CD56" s="248" t="s">
        <v>724</v>
      </c>
      <c r="CE56" s="389">
        <f>CE55*(1+$BJ56)</f>
        <v>1267.9045683358115</v>
      </c>
      <c r="CF56" s="120">
        <f t="shared" si="41"/>
        <v>2.1160528639999843E-2</v>
      </c>
      <c r="CG56" s="120">
        <f t="shared" si="37"/>
        <v>8.0000000000000071E-3</v>
      </c>
      <c r="CH56" s="389">
        <f>CH55*(1+$BJ56)</f>
        <v>1223.6872962851712</v>
      </c>
      <c r="CI56" s="120">
        <f t="shared" si="20"/>
        <v>2.1160528640000065E-2</v>
      </c>
      <c r="CJ56" s="120">
        <f>$BJ56</f>
        <v>8.0000000000000002E-3</v>
      </c>
      <c r="CK56" s="255"/>
      <c r="CL56" s="248" t="s">
        <v>724</v>
      </c>
      <c r="CM56" s="389">
        <f t="shared" si="73"/>
        <v>1175.3567896251684</v>
      </c>
      <c r="CN56" s="389">
        <f t="shared" si="73"/>
        <v>1234.9986914609162</v>
      </c>
      <c r="CO56" s="389">
        <f t="shared" si="73"/>
        <v>1200.0361972813398</v>
      </c>
      <c r="CQ56" s="282" t="s">
        <v>467</v>
      </c>
      <c r="CR56" s="282"/>
      <c r="CS56" s="282"/>
      <c r="CT56" s="282"/>
      <c r="CU56" s="282"/>
      <c r="CV56" s="255"/>
      <c r="CW56" s="248" t="s">
        <v>695</v>
      </c>
      <c r="CX56">
        <v>897.90996800000005</v>
      </c>
      <c r="CY56">
        <v>897.90996800000005</v>
      </c>
      <c r="CZ56" t="s">
        <v>634</v>
      </c>
      <c r="DB56" s="350">
        <v>41791</v>
      </c>
      <c r="DC56" s="88">
        <f t="shared" si="59"/>
        <v>1454.4690000000001</v>
      </c>
      <c r="DD56" s="88">
        <f t="shared" si="57"/>
        <v>1358.4480000000001</v>
      </c>
      <c r="DE56" s="89">
        <f t="shared" si="33"/>
        <v>1.1204481792717047E-2</v>
      </c>
      <c r="DF56" s="89">
        <f t="shared" si="33"/>
        <v>1.6759776536312998E-2</v>
      </c>
      <c r="DG56" s="89">
        <f t="shared" si="63"/>
        <v>6.5420560747664336E-3</v>
      </c>
      <c r="DH56" s="248" t="s">
        <v>650</v>
      </c>
      <c r="DI56">
        <v>23.48</v>
      </c>
      <c r="DJ56">
        <v>17.62</v>
      </c>
      <c r="DK56">
        <v>18.77</v>
      </c>
      <c r="DM56" s="353">
        <v>37316</v>
      </c>
      <c r="DN56">
        <v>18.940000000000001</v>
      </c>
      <c r="DO56">
        <v>18.77</v>
      </c>
      <c r="DP56" s="365">
        <f t="shared" si="61"/>
        <v>3.4407427635172239E-2</v>
      </c>
      <c r="DQ56" s="365">
        <f t="shared" si="61"/>
        <v>3.6443953616786207E-2</v>
      </c>
      <c r="DR56" s="365">
        <f t="shared" si="64"/>
        <v>3.7902286543231911E-2</v>
      </c>
      <c r="DS56" s="365">
        <f t="shared" si="64"/>
        <v>3.4629353956472819E-2</v>
      </c>
      <c r="DT56" s="255"/>
      <c r="DU56" s="367">
        <v>39783</v>
      </c>
      <c r="DV56" s="368">
        <v>99.8</v>
      </c>
      <c r="DW56" s="368">
        <v>100</v>
      </c>
      <c r="DX56" s="369">
        <v>99.7</v>
      </c>
      <c r="DY56" s="367">
        <v>21885</v>
      </c>
      <c r="DZ56" s="368">
        <v>7.5</v>
      </c>
      <c r="EJ56" s="248" t="s">
        <v>653</v>
      </c>
      <c r="EK56" s="95">
        <v>78559000</v>
      </c>
      <c r="EL56" s="95">
        <v>848807600</v>
      </c>
      <c r="EN56" s="248" t="s">
        <v>653</v>
      </c>
      <c r="EO56" s="95">
        <v>4168800</v>
      </c>
      <c r="EP56" s="95">
        <v>45330700</v>
      </c>
      <c r="ER56" s="352">
        <f t="shared" si="14"/>
        <v>18.844511610055651</v>
      </c>
      <c r="ES56" s="352">
        <f t="shared" si="14"/>
        <v>18.724784748525835</v>
      </c>
      <c r="ET56" s="89">
        <f t="shared" ref="ET56:EU71" si="75">ER56/ER52-1</f>
        <v>2.9003459359207895E-2</v>
      </c>
      <c r="EU56" s="89">
        <f t="shared" si="75"/>
        <v>2.386360502676621E-2</v>
      </c>
      <c r="EV56" s="350">
        <v>37408</v>
      </c>
      <c r="EW56" s="352">
        <f t="shared" si="74"/>
        <v>18.812353462832707</v>
      </c>
      <c r="EX56" s="352">
        <f t="shared" si="74"/>
        <v>18.631963067543339</v>
      </c>
      <c r="EY56" s="89">
        <f t="shared" si="65"/>
        <v>3.7444348549479534E-2</v>
      </c>
      <c r="EZ56" s="89">
        <f t="shared" si="65"/>
        <v>3.2166026839820061E-2</v>
      </c>
    </row>
    <row r="57" spans="1:156" ht="15" customHeight="1">
      <c r="A57" s="255"/>
      <c r="B57" s="248" t="s">
        <v>725</v>
      </c>
      <c r="C57" s="393">
        <f>C40/C12-1</f>
        <v>5.3598180711314169E-2</v>
      </c>
      <c r="D57" s="255"/>
      <c r="E57" s="255"/>
      <c r="F57" s="248"/>
      <c r="G57" s="393">
        <f>G40/G12-1</f>
        <v>3.8229376257545189E-2</v>
      </c>
      <c r="I57" s="393">
        <f>I40/I12-1</f>
        <v>3.9961013645224197E-2</v>
      </c>
      <c r="K57" s="393">
        <f>K40/K12-1</f>
        <v>9.2012133468149626E-2</v>
      </c>
      <c r="M57" s="255"/>
      <c r="N57" s="255"/>
      <c r="O57" s="393"/>
      <c r="P57" s="255"/>
      <c r="Q57" s="255"/>
      <c r="R57" s="393"/>
      <c r="S57" s="255"/>
      <c r="T57" s="255"/>
      <c r="U57" s="255"/>
      <c r="V57" s="255"/>
      <c r="W57" s="393"/>
      <c r="X57" s="255"/>
      <c r="Y57" s="393"/>
      <c r="Z57" s="393"/>
      <c r="AA57" s="255"/>
      <c r="AB57" s="255"/>
      <c r="AM57" s="89">
        <f t="array" ref="AM57">PRODUCT(1+AM41:AM44)-1</f>
        <v>3.3444816053511461E-2</v>
      </c>
      <c r="AQ57" s="255"/>
      <c r="AR57" s="255"/>
      <c r="AS57" s="255"/>
      <c r="AT57" s="248"/>
      <c r="AU57" s="89"/>
      <c r="AW57" s="255"/>
      <c r="AX57" s="255"/>
      <c r="AY57" s="255"/>
      <c r="AZ57" s="255"/>
      <c r="BA57" s="255"/>
      <c r="BK57" s="373">
        <v>44075</v>
      </c>
      <c r="BL57" s="374">
        <v>18.899999999999999</v>
      </c>
      <c r="BM57" s="118">
        <f t="shared" si="32"/>
        <v>6.7796610169491567E-2</v>
      </c>
      <c r="BV57" s="248"/>
      <c r="CC57" s="255"/>
      <c r="CD57" s="248"/>
      <c r="CK57" s="255"/>
      <c r="CL57" s="248"/>
      <c r="CQ57" s="282"/>
      <c r="CR57" s="282"/>
      <c r="CS57" s="282"/>
      <c r="CT57" s="282"/>
      <c r="CU57" s="282"/>
      <c r="CV57" s="255"/>
      <c r="CW57" s="248" t="s">
        <v>697</v>
      </c>
      <c r="CX57">
        <v>903.53697699999998</v>
      </c>
      <c r="CY57">
        <v>903.53697699999998</v>
      </c>
      <c r="CZ57" t="s">
        <v>634</v>
      </c>
      <c r="DB57" s="350">
        <v>41883</v>
      </c>
      <c r="DC57" s="88">
        <f t="shared" si="59"/>
        <v>1458.498</v>
      </c>
      <c r="DD57" s="88">
        <f t="shared" si="57"/>
        <v>1363.424</v>
      </c>
      <c r="DE57" s="89">
        <f t="shared" si="33"/>
        <v>1.1173184357541999E-2</v>
      </c>
      <c r="DF57" s="89">
        <f t="shared" si="33"/>
        <v>1.5755329008340979E-2</v>
      </c>
      <c r="DG57" s="89">
        <f t="shared" si="63"/>
        <v>6.5298507462685507E-3</v>
      </c>
      <c r="DH57" s="248" t="s">
        <v>653</v>
      </c>
      <c r="DI57">
        <v>23.14</v>
      </c>
      <c r="DJ57">
        <v>17.600000000000001</v>
      </c>
      <c r="DK57">
        <v>18.72</v>
      </c>
      <c r="DM57" s="353">
        <v>37408</v>
      </c>
      <c r="DN57">
        <v>18.84</v>
      </c>
      <c r="DO57">
        <v>18.72</v>
      </c>
      <c r="DP57" s="365">
        <f t="shared" si="61"/>
        <v>2.8945931185144769E-2</v>
      </c>
      <c r="DQ57" s="365">
        <f t="shared" si="61"/>
        <v>2.3510114816839733E-2</v>
      </c>
      <c r="DR57" s="365">
        <f t="shared" si="64"/>
        <v>3.7538875227876245E-2</v>
      </c>
      <c r="DS57" s="365">
        <f t="shared" si="64"/>
        <v>3.2015838230747606E-2</v>
      </c>
      <c r="DT57" s="255"/>
      <c r="DU57" s="367">
        <v>39873</v>
      </c>
      <c r="DV57" s="368">
        <v>100.8</v>
      </c>
      <c r="DW57" s="368">
        <v>100.6</v>
      </c>
      <c r="DX57" s="369">
        <v>101.1</v>
      </c>
      <c r="DY57" s="367">
        <v>21976</v>
      </c>
      <c r="DZ57" s="368">
        <v>7.5</v>
      </c>
      <c r="EJ57" s="248" t="s">
        <v>656</v>
      </c>
      <c r="EK57" s="95">
        <v>79370100</v>
      </c>
      <c r="EL57" s="95">
        <v>858365600</v>
      </c>
      <c r="EN57" s="248" t="s">
        <v>656</v>
      </c>
      <c r="EO57" s="95">
        <v>4153900</v>
      </c>
      <c r="EP57" s="95">
        <v>45045200</v>
      </c>
      <c r="ER57" s="352">
        <f t="shared" si="14"/>
        <v>19.107368978550276</v>
      </c>
      <c r="ES57" s="352">
        <f t="shared" si="14"/>
        <v>19.055650768561357</v>
      </c>
      <c r="ET57" s="89">
        <f t="shared" si="75"/>
        <v>1.5269577409064539E-2</v>
      </c>
      <c r="EU57" s="89">
        <f t="shared" si="75"/>
        <v>3.0691642429689692E-2</v>
      </c>
      <c r="EV57" s="350">
        <v>37500</v>
      </c>
      <c r="EW57" s="352">
        <f t="shared" si="74"/>
        <v>18.884609799484494</v>
      </c>
      <c r="EX57" s="352">
        <f t="shared" si="74"/>
        <v>18.772676671739926</v>
      </c>
      <c r="EY57" s="89">
        <f t="shared" si="65"/>
        <v>2.785997926949868E-2</v>
      </c>
      <c r="EZ57" s="89">
        <f t="shared" si="65"/>
        <v>3.1175525297404194E-2</v>
      </c>
    </row>
    <row r="58" spans="1:156" ht="15" customHeight="1">
      <c r="B58" s="248" t="s">
        <v>100</v>
      </c>
      <c r="C58" s="89">
        <f>C47/C15-1</f>
        <v>9.5502653807786997E-2</v>
      </c>
      <c r="F58" s="248"/>
      <c r="G58" s="89">
        <f>G47/G15-1</f>
        <v>7.2361809045226044E-2</v>
      </c>
      <c r="I58" s="89">
        <f>I47/I15-1</f>
        <v>9.332023575638515E-2</v>
      </c>
      <c r="K58" s="89">
        <f>K47/K15-1</f>
        <v>0.12550200803212852</v>
      </c>
      <c r="N58" s="248" t="s">
        <v>100</v>
      </c>
      <c r="O58" s="89">
        <f>O47/O15-1</f>
        <v>0.12988696396234589</v>
      </c>
      <c r="P58" s="89"/>
      <c r="Q58" s="89"/>
      <c r="R58" s="89">
        <f>R47/R15-1</f>
        <v>0.10780597158408911</v>
      </c>
      <c r="S58" s="89"/>
      <c r="W58" s="89">
        <f>W47/W15-1</f>
        <v>0.22091744043026806</v>
      </c>
      <c r="Y58" s="89">
        <f>Y47/Y15-1</f>
        <v>0.1975227429479709</v>
      </c>
      <c r="Z58" s="89"/>
      <c r="AC58" s="248" t="s">
        <v>100</v>
      </c>
      <c r="AD58" s="89">
        <f>AD47/AD15-1</f>
        <v>0.15053468604332343</v>
      </c>
      <c r="AE58" s="89">
        <f>AE47/AE15-1</f>
        <v>0.19183511692429644</v>
      </c>
      <c r="AF58" s="89">
        <f>AF47/AF15-1</f>
        <v>0.18508997429305918</v>
      </c>
      <c r="AK58" s="89">
        <f>AK47/AK15-1</f>
        <v>0.23862520458265157</v>
      </c>
      <c r="AP58" s="89">
        <f>AP47/AP15-1</f>
        <v>0.2264822134387352</v>
      </c>
      <c r="AT58" s="248"/>
      <c r="AU58" s="89"/>
      <c r="AZ58" s="255"/>
      <c r="BA58" s="255"/>
      <c r="BD58" s="89">
        <f>BD39/BD15-1</f>
        <v>9.0640394088669973E-2</v>
      </c>
      <c r="BJ58" s="118"/>
      <c r="BK58" s="373">
        <v>44166</v>
      </c>
      <c r="BL58" s="374">
        <v>18.899999999999999</v>
      </c>
      <c r="BM58" s="118">
        <f t="shared" si="32"/>
        <v>6.7796610169491567E-2</v>
      </c>
      <c r="BN58" s="255"/>
      <c r="BO58" s="255"/>
      <c r="BV58" s="248" t="s">
        <v>100</v>
      </c>
      <c r="BW58" s="89">
        <f>BW47/BW15-1</f>
        <v>0.10813492063492069</v>
      </c>
      <c r="BX58" s="89">
        <f>BX47/BX15-1</f>
        <v>0.10816125860373638</v>
      </c>
      <c r="BY58" s="89">
        <f>BY47/BY15-1</f>
        <v>0.11579980372914611</v>
      </c>
      <c r="BZ58" s="89"/>
      <c r="CA58" s="89"/>
      <c r="CB58" s="89"/>
      <c r="CC58" s="89"/>
      <c r="CD58" s="248"/>
      <c r="CE58" s="89">
        <f>CE47/CE15-1</f>
        <v>0.18163869693978274</v>
      </c>
      <c r="CF58" s="89"/>
      <c r="CG58" s="89"/>
      <c r="CH58" s="89">
        <f>CH47/CH15-1</f>
        <v>0.15544554455445536</v>
      </c>
      <c r="CI58" s="89"/>
      <c r="CJ58" s="89"/>
      <c r="CK58" s="89"/>
      <c r="CL58" s="89"/>
      <c r="CM58" s="89">
        <f>CM47/CM15-1</f>
        <v>0.10923535253227401</v>
      </c>
      <c r="CN58" s="89">
        <f>CN47/CN15-1</f>
        <v>0.14581280788177331</v>
      </c>
      <c r="CO58" s="89">
        <f>CO47/CO15-1</f>
        <v>0.10816125860373638</v>
      </c>
      <c r="CQ58" s="282" t="s">
        <v>471</v>
      </c>
      <c r="CR58" s="282"/>
      <c r="CS58" s="282"/>
      <c r="CT58" s="282"/>
      <c r="CU58" s="282"/>
      <c r="CV58" s="255"/>
      <c r="CW58" s="248" t="s">
        <v>699</v>
      </c>
      <c r="CX58">
        <v>909.16398700000002</v>
      </c>
      <c r="CY58">
        <v>909.16398700000002</v>
      </c>
      <c r="CZ58">
        <v>901.6</v>
      </c>
      <c r="DB58" s="350">
        <v>41974</v>
      </c>
      <c r="DC58" s="88">
        <f t="shared" si="59"/>
        <v>1461.184</v>
      </c>
      <c r="DD58" s="88">
        <f t="shared" si="57"/>
        <v>1370.8879999999999</v>
      </c>
      <c r="DE58" s="89">
        <f t="shared" si="33"/>
        <v>9.27643784786647E-3</v>
      </c>
      <c r="DF58" s="89">
        <f t="shared" si="33"/>
        <v>1.7543859649122862E-2</v>
      </c>
      <c r="DG58" s="89">
        <f t="shared" si="63"/>
        <v>6.5237651444547406E-3</v>
      </c>
      <c r="DH58" s="248" t="s">
        <v>656</v>
      </c>
      <c r="DI58">
        <v>23.55</v>
      </c>
      <c r="DJ58">
        <v>17.91</v>
      </c>
      <c r="DK58">
        <v>19.059999999999999</v>
      </c>
      <c r="DM58" s="353">
        <v>37500</v>
      </c>
      <c r="DN58">
        <v>19.11</v>
      </c>
      <c r="DO58">
        <v>19.059999999999999</v>
      </c>
      <c r="DP58" s="365">
        <f t="shared" si="61"/>
        <v>1.540913921360243E-2</v>
      </c>
      <c r="DQ58" s="365">
        <f t="shared" si="61"/>
        <v>3.0827474310438197E-2</v>
      </c>
      <c r="DR58" s="365">
        <f t="shared" si="64"/>
        <v>2.840060981554271E-2</v>
      </c>
      <c r="DS58" s="365">
        <f t="shared" si="64"/>
        <v>3.1050100785261936E-2</v>
      </c>
      <c r="DT58" s="255"/>
      <c r="DU58" s="367">
        <v>39965</v>
      </c>
      <c r="DV58" s="368">
        <v>101.1</v>
      </c>
      <c r="DW58" s="368">
        <v>101</v>
      </c>
      <c r="DX58" s="369">
        <v>101.3</v>
      </c>
      <c r="DY58" s="367">
        <v>22068</v>
      </c>
      <c r="DZ58" s="368">
        <v>7.6</v>
      </c>
      <c r="EJ58" s="248" t="s">
        <v>659</v>
      </c>
      <c r="EK58" s="95">
        <v>82275900</v>
      </c>
      <c r="EL58" s="95">
        <v>885186400</v>
      </c>
      <c r="EN58" s="248" t="s">
        <v>659</v>
      </c>
      <c r="EO58" s="95">
        <v>4249000</v>
      </c>
      <c r="EP58" s="95">
        <v>46112700</v>
      </c>
      <c r="ER58" s="352">
        <f t="shared" si="14"/>
        <v>19.363591433278419</v>
      </c>
      <c r="ES58" s="352">
        <f t="shared" si="14"/>
        <v>19.196152036206946</v>
      </c>
      <c r="ET58" s="89">
        <f t="shared" si="75"/>
        <v>3.8359333534051743E-2</v>
      </c>
      <c r="EU58" s="89">
        <f t="shared" si="75"/>
        <v>3.5765100379313575E-2</v>
      </c>
      <c r="EV58" s="350">
        <v>37591</v>
      </c>
      <c r="EW58" s="352">
        <f t="shared" si="74"/>
        <v>19.065011430251467</v>
      </c>
      <c r="EX58" s="352">
        <f t="shared" si="74"/>
        <v>18.939073470988799</v>
      </c>
      <c r="EY58" s="89">
        <f t="shared" si="65"/>
        <v>2.8946841522275113E-2</v>
      </c>
      <c r="EZ58" s="89">
        <f t="shared" si="65"/>
        <v>3.1691394669663531E-2</v>
      </c>
    </row>
    <row r="59" spans="1:156" ht="15" customHeight="1">
      <c r="B59" s="248" t="s">
        <v>726</v>
      </c>
      <c r="C59" s="89">
        <f>C47/C15-1</f>
        <v>9.5502653807786997E-2</v>
      </c>
      <c r="F59" s="248"/>
      <c r="G59" s="89">
        <f>G47/G15-1</f>
        <v>7.2361809045226044E-2</v>
      </c>
      <c r="I59" s="89">
        <f>I47/I15-1</f>
        <v>9.332023575638515E-2</v>
      </c>
      <c r="K59" s="89">
        <f>K47/K15-1</f>
        <v>0.12550200803212852</v>
      </c>
      <c r="N59" s="248" t="s">
        <v>726</v>
      </c>
      <c r="O59" s="89">
        <f>O47/O15-1</f>
        <v>0.12988696396234589</v>
      </c>
      <c r="R59" s="89">
        <f>R47/R15-1</f>
        <v>0.10780597158408911</v>
      </c>
      <c r="W59" s="89">
        <f>W47/W15-1</f>
        <v>0.22091744043026806</v>
      </c>
      <c r="Y59" s="89">
        <f>Y47/Y15-1</f>
        <v>0.1975227429479709</v>
      </c>
      <c r="Z59" s="89"/>
      <c r="AC59" s="248" t="s">
        <v>726</v>
      </c>
      <c r="AD59" s="89">
        <f>AD47/AD15-1</f>
        <v>0.15053468604332343</v>
      </c>
      <c r="AE59" s="89">
        <f>AE47/AE15-1</f>
        <v>0.19183511692429644</v>
      </c>
      <c r="AF59" s="89">
        <f>AF47/AF15-1</f>
        <v>0.18508997429305918</v>
      </c>
      <c r="AG59" s="255"/>
      <c r="AH59" s="255"/>
      <c r="AI59" s="255"/>
      <c r="AJ59" s="255"/>
      <c r="AK59" s="89">
        <f>AK47/AK15-1</f>
        <v>0.23862520458265157</v>
      </c>
      <c r="AL59" s="255"/>
      <c r="AM59" s="255"/>
      <c r="AN59" s="255"/>
      <c r="AO59" s="255"/>
      <c r="AP59" s="89">
        <f>AP47/AP15-1</f>
        <v>0.2264822134387352</v>
      </c>
      <c r="AT59" s="248"/>
      <c r="AU59" s="95"/>
      <c r="AZ59" s="255"/>
      <c r="BA59" s="255"/>
      <c r="BB59" s="255"/>
      <c r="BC59" s="255"/>
      <c r="BD59" s="89">
        <f>BD36/BD15-1</f>
        <v>7.6847290640394084E-2</v>
      </c>
      <c r="BE59" s="255"/>
      <c r="BF59" s="255"/>
      <c r="BG59" s="255"/>
      <c r="BH59" s="255"/>
      <c r="BI59" s="255"/>
      <c r="BJ59" s="118"/>
      <c r="BK59" s="373">
        <v>44256</v>
      </c>
      <c r="BL59" s="374">
        <v>18.899999999999999</v>
      </c>
      <c r="BM59" s="118">
        <f t="shared" si="32"/>
        <v>6.7796610169491567E-2</v>
      </c>
      <c r="BN59" s="255"/>
      <c r="BO59" s="255"/>
      <c r="BP59" s="255"/>
      <c r="BQ59" s="255"/>
      <c r="BR59" s="255"/>
      <c r="BS59" s="255"/>
      <c r="BT59" s="255"/>
      <c r="BU59" s="255"/>
      <c r="BV59" s="248" t="s">
        <v>726</v>
      </c>
      <c r="BW59" s="89">
        <f>BW47/BW15-1</f>
        <v>0.10813492063492069</v>
      </c>
      <c r="BX59" s="89">
        <f>BX47/BX15-1</f>
        <v>0.10816125860373638</v>
      </c>
      <c r="BY59" s="89">
        <f>BY47/BY15-1</f>
        <v>0.11579980372914611</v>
      </c>
      <c r="BZ59" s="89"/>
      <c r="CA59" s="89"/>
      <c r="CB59" s="89"/>
      <c r="CC59" s="89"/>
      <c r="CD59" s="248"/>
      <c r="CE59" s="89">
        <f>CE47/CE15-1</f>
        <v>0.18163869693978274</v>
      </c>
      <c r="CF59" s="89"/>
      <c r="CG59" s="89"/>
      <c r="CH59" s="89">
        <f>CH47/CH15-1</f>
        <v>0.15544554455445536</v>
      </c>
      <c r="CI59" s="89"/>
      <c r="CJ59" s="89"/>
      <c r="CK59" s="89"/>
      <c r="CL59" s="89"/>
      <c r="CM59" s="89">
        <f>CM47/CM15-1</f>
        <v>0.10923535253227401</v>
      </c>
      <c r="CN59" s="89">
        <f>CN47/CN15-1</f>
        <v>0.14581280788177331</v>
      </c>
      <c r="CO59" s="89">
        <f>CO47/CO15-1</f>
        <v>0.10816125860373638</v>
      </c>
      <c r="CQ59" s="282" t="s">
        <v>727</v>
      </c>
      <c r="CR59" s="282"/>
      <c r="CS59" s="282"/>
      <c r="CT59" s="282"/>
      <c r="CU59" s="282"/>
      <c r="CV59" s="255"/>
      <c r="CW59" s="248" t="s">
        <v>701</v>
      </c>
      <c r="CX59">
        <v>918.81028900000001</v>
      </c>
      <c r="CY59">
        <v>918.81028900000001</v>
      </c>
      <c r="CZ59" t="s">
        <v>634</v>
      </c>
      <c r="DB59" s="350">
        <v>42064</v>
      </c>
      <c r="DC59" s="88">
        <f t="shared" si="59"/>
        <v>1463.87</v>
      </c>
      <c r="DD59" s="88">
        <f t="shared" si="57"/>
        <v>1374.62</v>
      </c>
      <c r="DE59" s="89">
        <f t="shared" si="33"/>
        <v>1.0194624652456019E-2</v>
      </c>
      <c r="DF59" s="89">
        <f t="shared" si="33"/>
        <v>1.6559337626494752E-2</v>
      </c>
      <c r="DG59" s="89">
        <f t="shared" si="63"/>
        <v>6.5237651444547406E-3</v>
      </c>
      <c r="DH59" s="248" t="s">
        <v>659</v>
      </c>
      <c r="DI59">
        <v>23.6</v>
      </c>
      <c r="DJ59">
        <v>18.09</v>
      </c>
      <c r="DK59">
        <v>19.2</v>
      </c>
      <c r="DM59" s="353">
        <v>37591</v>
      </c>
      <c r="DN59">
        <v>19.36</v>
      </c>
      <c r="DO59">
        <v>19.2</v>
      </c>
      <c r="DP59" s="365">
        <f t="shared" si="61"/>
        <v>3.8069705093833894E-2</v>
      </c>
      <c r="DQ59" s="365">
        <f t="shared" si="61"/>
        <v>3.6157582298974589E-2</v>
      </c>
      <c r="DR59" s="365">
        <f t="shared" ref="DR59:DS72" si="76">GEOMEAN(DN56:DN59)/GEOMEAN(DN52:DN55)-1</f>
        <v>2.917195305732867E-2</v>
      </c>
      <c r="DS59" s="365">
        <f t="shared" si="76"/>
        <v>3.1721400366620411E-2</v>
      </c>
      <c r="DT59" s="255"/>
      <c r="DU59" s="367">
        <v>40057</v>
      </c>
      <c r="DV59" s="368">
        <v>102.7</v>
      </c>
      <c r="DW59" s="368">
        <v>101.8</v>
      </c>
      <c r="DX59" s="369">
        <v>103.7</v>
      </c>
      <c r="DY59" s="367">
        <v>22160</v>
      </c>
      <c r="DZ59" s="368">
        <v>7.7</v>
      </c>
      <c r="EJ59" s="248" t="s">
        <v>666</v>
      </c>
      <c r="EK59" s="95">
        <v>82896100</v>
      </c>
      <c r="EL59" s="95">
        <v>895488300</v>
      </c>
      <c r="EN59" s="248" t="s">
        <v>666</v>
      </c>
      <c r="EO59" s="95">
        <v>4258200</v>
      </c>
      <c r="EP59" s="95">
        <v>46614100</v>
      </c>
      <c r="ER59" s="352">
        <f t="shared" si="14"/>
        <v>19.467404067446338</v>
      </c>
      <c r="ES59" s="352">
        <f t="shared" si="14"/>
        <v>19.210674452579799</v>
      </c>
      <c r="ET59" s="89">
        <f t="shared" si="75"/>
        <v>2.8025317773249681E-2</v>
      </c>
      <c r="EU59" s="89">
        <f t="shared" si="75"/>
        <v>2.326138458707705E-2</v>
      </c>
      <c r="EV59" s="350">
        <v>37681</v>
      </c>
      <c r="EW59" s="352">
        <f t="shared" si="74"/>
        <v>19.198040392396866</v>
      </c>
      <c r="EX59" s="352">
        <f t="shared" si="74"/>
        <v>19.048588032836218</v>
      </c>
      <c r="EY59" s="89">
        <f t="shared" ref="EY59:EZ74" si="77">EW59/EW55-1</f>
        <v>2.7589025525694977E-2</v>
      </c>
      <c r="EZ59" s="89">
        <f t="shared" si="77"/>
        <v>2.8373834016444111E-2</v>
      </c>
    </row>
    <row r="60" spans="1:156" ht="15" customHeight="1">
      <c r="B60" s="248" t="s">
        <v>728</v>
      </c>
      <c r="C60" s="89">
        <f>C47/C16-1</f>
        <v>9.6333838973882591E-2</v>
      </c>
      <c r="F60" s="248"/>
      <c r="G60" s="89">
        <f>G47/G16-1</f>
        <v>6.8068068068068088E-2</v>
      </c>
      <c r="I60" s="89">
        <f>I47/I16-1</f>
        <v>0.10307234886025762</v>
      </c>
      <c r="K60" s="89">
        <f>K47/K16-1</f>
        <v>0.12550200803212852</v>
      </c>
      <c r="N60" s="248" t="s">
        <v>728</v>
      </c>
      <c r="O60" s="89">
        <f>O47/O16-1</f>
        <v>0.12783075521355691</v>
      </c>
      <c r="R60" s="89">
        <f>R47/R16-1</f>
        <v>0.10578994661576502</v>
      </c>
      <c r="W60" s="89">
        <f>W47/W16-1</f>
        <v>0.21192357277302953</v>
      </c>
      <c r="Y60" s="89">
        <f>Y47/Y16-1</f>
        <v>0.18870121193371014</v>
      </c>
      <c r="Z60" s="89"/>
      <c r="AC60" s="248" t="s">
        <v>729</v>
      </c>
      <c r="AD60" s="89">
        <f>AD47/AD16-1</f>
        <v>0.17469204927211646</v>
      </c>
      <c r="AE60" s="89">
        <f>AE47/AE16-1</f>
        <v>0.20617729643000393</v>
      </c>
      <c r="AF60" s="89">
        <f>AF47/AF16-1</f>
        <v>0.19873699851411586</v>
      </c>
      <c r="AG60" s="255"/>
      <c r="AH60" s="255"/>
      <c r="AI60" s="255"/>
      <c r="AJ60" s="255"/>
      <c r="AK60" s="89">
        <f>AK47/AK16-1</f>
        <v>0.21554770318021221</v>
      </c>
      <c r="AL60" s="255"/>
      <c r="AM60" s="255"/>
      <c r="AN60" s="255"/>
      <c r="AO60" s="255"/>
      <c r="AP60" s="89">
        <f>AP47/AP16-1</f>
        <v>0.21734013338564151</v>
      </c>
      <c r="AT60" s="248"/>
      <c r="AU60" s="95"/>
      <c r="AZ60" s="255"/>
      <c r="BA60" s="255"/>
      <c r="BB60" s="255"/>
      <c r="BC60" s="255"/>
      <c r="BD60" s="89">
        <f>BD36/BD16-1</f>
        <v>7.3673870333988312E-2</v>
      </c>
      <c r="BE60" s="255"/>
      <c r="BF60" s="255"/>
      <c r="BG60" s="255"/>
      <c r="BH60" s="255"/>
      <c r="BI60" s="255"/>
      <c r="BJ60" s="118"/>
      <c r="BK60" s="373">
        <v>44348</v>
      </c>
      <c r="BL60" s="374">
        <v>20</v>
      </c>
      <c r="BM60" s="363">
        <f t="shared" si="32"/>
        <v>5.8201058201058364E-2</v>
      </c>
      <c r="BN60" s="255"/>
      <c r="BO60" s="255"/>
      <c r="BP60" s="255"/>
      <c r="BQ60" s="255"/>
      <c r="BR60" s="255"/>
      <c r="BS60" s="255"/>
      <c r="BT60" s="255"/>
      <c r="BU60" s="255"/>
      <c r="BV60" s="248" t="s">
        <v>729</v>
      </c>
      <c r="BW60" s="89">
        <f>BW47/BW16-1</f>
        <v>0.10813492063492069</v>
      </c>
      <c r="BX60" s="89">
        <f>BX47/BX16-1</f>
        <v>0.10707269155206278</v>
      </c>
      <c r="BY60" s="89">
        <f>BY47/BY16-1</f>
        <v>0.11361410381978443</v>
      </c>
      <c r="BZ60" s="89"/>
      <c r="CA60" s="89"/>
      <c r="CB60" s="89"/>
      <c r="CC60" s="255"/>
      <c r="CD60" s="248"/>
      <c r="CE60" s="89">
        <f>CE47/CE16-1</f>
        <v>0.17583497053045183</v>
      </c>
      <c r="CF60" s="89"/>
      <c r="CG60" s="89"/>
      <c r="CH60" s="89">
        <f>CH47/CH16-1</f>
        <v>0.15088757396449703</v>
      </c>
      <c r="CI60" s="89"/>
      <c r="CJ60" s="89"/>
      <c r="CK60" s="255"/>
      <c r="CL60" s="248"/>
      <c r="CM60" s="89">
        <f>CM47/CM16-1</f>
        <v>0.10813492063492069</v>
      </c>
      <c r="CN60" s="89">
        <f>CN47/CN16-1</f>
        <v>0.14243614931237714</v>
      </c>
      <c r="CO60" s="89">
        <f>CO47/CO16-1</f>
        <v>0.10707269155206278</v>
      </c>
      <c r="CQ60" s="282"/>
      <c r="CR60" s="282"/>
      <c r="CS60" s="282"/>
      <c r="CT60" s="282"/>
      <c r="CU60" s="282"/>
      <c r="CV60" s="255"/>
      <c r="CW60" s="248" t="s">
        <v>703</v>
      </c>
      <c r="CX60">
        <v>926.84887500000002</v>
      </c>
      <c r="CY60">
        <v>926.84887500000002</v>
      </c>
      <c r="CZ60" t="s">
        <v>634</v>
      </c>
      <c r="DB60" s="350">
        <v>42156</v>
      </c>
      <c r="DC60" s="88">
        <f t="shared" si="59"/>
        <v>1467.8989999999999</v>
      </c>
      <c r="DD60" s="88">
        <f t="shared" si="57"/>
        <v>1380.84</v>
      </c>
      <c r="DE60" s="89">
        <f t="shared" ref="DE60:DF75" si="78">DC60/DC56-1</f>
        <v>9.2336103416434945E-3</v>
      </c>
      <c r="DF60" s="89">
        <f t="shared" si="78"/>
        <v>1.6483516483516425E-2</v>
      </c>
      <c r="DG60" s="89">
        <f t="shared" si="63"/>
        <v>4.6425255338904403E-3</v>
      </c>
      <c r="DH60" s="248" t="s">
        <v>666</v>
      </c>
      <c r="DI60">
        <v>23.9</v>
      </c>
      <c r="DJ60">
        <v>18.07</v>
      </c>
      <c r="DK60">
        <v>19.21</v>
      </c>
      <c r="DM60" s="353">
        <v>37681</v>
      </c>
      <c r="DN60">
        <v>19.47</v>
      </c>
      <c r="DO60">
        <v>19.21</v>
      </c>
      <c r="DP60" s="365">
        <f t="shared" si="61"/>
        <v>2.7983104540654669E-2</v>
      </c>
      <c r="DQ60" s="365">
        <f t="shared" si="61"/>
        <v>2.3441662226957982E-2</v>
      </c>
      <c r="DR60" s="365">
        <f t="shared" si="76"/>
        <v>2.7570266034777635E-2</v>
      </c>
      <c r="DS60" s="365">
        <f t="shared" si="76"/>
        <v>2.8470304020777881E-2</v>
      </c>
      <c r="DT60" s="255"/>
      <c r="DU60" s="367">
        <v>40148</v>
      </c>
      <c r="DV60" s="368">
        <v>103.7</v>
      </c>
      <c r="DW60" s="368">
        <v>102.7</v>
      </c>
      <c r="DX60" s="369">
        <v>104.8</v>
      </c>
      <c r="DY60" s="367">
        <v>22251</v>
      </c>
      <c r="DZ60" s="368">
        <v>7.8</v>
      </c>
      <c r="EJ60" s="248" t="s">
        <v>669</v>
      </c>
      <c r="EK60" s="95">
        <v>84913900</v>
      </c>
      <c r="EL60" s="95">
        <v>901310500</v>
      </c>
      <c r="EN60" s="248" t="s">
        <v>669</v>
      </c>
      <c r="EO60" s="95">
        <v>4365300</v>
      </c>
      <c r="EP60" s="95">
        <v>46402700</v>
      </c>
      <c r="ER60" s="352">
        <f t="shared" si="14"/>
        <v>19.452019334295468</v>
      </c>
      <c r="ES60" s="352">
        <f t="shared" si="14"/>
        <v>19.423665002252026</v>
      </c>
      <c r="ET60" s="89">
        <f t="shared" si="75"/>
        <v>3.2237912916546207E-2</v>
      </c>
      <c r="EU60" s="89">
        <f t="shared" si="75"/>
        <v>3.7323807088421201E-2</v>
      </c>
      <c r="EV60" s="350">
        <v>37773</v>
      </c>
      <c r="EW60" s="352">
        <f t="shared" si="74"/>
        <v>19.349715735563596</v>
      </c>
      <c r="EX60" s="352">
        <f t="shared" si="74"/>
        <v>19.222785757218553</v>
      </c>
      <c r="EY60" s="89">
        <f t="shared" si="77"/>
        <v>2.8564330018173711E-2</v>
      </c>
      <c r="EZ60" s="89">
        <f t="shared" si="77"/>
        <v>3.1710168570719288E-2</v>
      </c>
    </row>
    <row r="61" spans="1:156" ht="15" customHeight="1">
      <c r="B61" s="248"/>
      <c r="F61" s="248"/>
      <c r="N61" s="394"/>
      <c r="P61" s="255"/>
      <c r="Q61" s="255"/>
      <c r="AC61" s="255"/>
      <c r="AD61" s="255"/>
      <c r="AE61" s="255"/>
      <c r="AF61" s="255"/>
      <c r="AG61" s="255"/>
      <c r="AH61" s="255"/>
      <c r="AI61" s="255"/>
      <c r="AJ61" s="255"/>
      <c r="AK61" s="255"/>
      <c r="AL61" s="255"/>
      <c r="AM61" s="255"/>
      <c r="AN61" s="255"/>
      <c r="AO61" s="255"/>
      <c r="AP61" s="255"/>
      <c r="AT61" s="248"/>
      <c r="AU61" s="95"/>
      <c r="BB61" s="255"/>
      <c r="BC61" s="255"/>
      <c r="BD61" s="255"/>
      <c r="BE61" s="255"/>
      <c r="BF61" s="255"/>
      <c r="BG61" s="255"/>
      <c r="BH61" s="255"/>
      <c r="BI61" s="255"/>
      <c r="BJ61" s="380"/>
      <c r="BM61" s="255"/>
      <c r="BN61" s="255"/>
      <c r="BO61" s="255"/>
      <c r="BP61" s="255"/>
      <c r="BQ61" s="255"/>
      <c r="BR61" s="255"/>
      <c r="BS61" s="255"/>
      <c r="BT61" s="255"/>
      <c r="BU61" s="255"/>
      <c r="BV61" s="248"/>
      <c r="CC61" s="255"/>
      <c r="CD61" s="248"/>
      <c r="CK61" s="255"/>
      <c r="CL61" s="248"/>
      <c r="CQ61" s="282" t="s">
        <v>478</v>
      </c>
      <c r="CR61" s="282"/>
      <c r="CS61" s="282"/>
      <c r="CT61" s="282"/>
      <c r="CU61" s="282"/>
      <c r="CV61" s="255"/>
      <c r="CW61" s="248" t="s">
        <v>300</v>
      </c>
      <c r="CX61">
        <v>932.47588399999995</v>
      </c>
      <c r="CY61">
        <v>932.47588399999995</v>
      </c>
      <c r="CZ61" t="s">
        <v>634</v>
      </c>
      <c r="DB61" s="350">
        <v>42248</v>
      </c>
      <c r="DC61" s="88">
        <f t="shared" si="59"/>
        <v>1471.9280000000001</v>
      </c>
      <c r="DD61" s="88">
        <f t="shared" si="57"/>
        <v>1385.816</v>
      </c>
      <c r="DE61" s="89">
        <f t="shared" si="78"/>
        <v>9.208103130755152E-3</v>
      </c>
      <c r="DF61" s="89">
        <f t="shared" si="78"/>
        <v>1.642335766423364E-2</v>
      </c>
      <c r="DG61" s="89">
        <f t="shared" si="63"/>
        <v>6.4874884151993051E-3</v>
      </c>
      <c r="DH61" s="248" t="s">
        <v>669</v>
      </c>
      <c r="DI61">
        <v>23.65</v>
      </c>
      <c r="DJ61">
        <v>18.34</v>
      </c>
      <c r="DK61">
        <v>19.420000000000002</v>
      </c>
      <c r="DM61" s="353">
        <v>37773</v>
      </c>
      <c r="DN61">
        <v>19.45</v>
      </c>
      <c r="DO61">
        <v>19.420000000000002</v>
      </c>
      <c r="DP61" s="365">
        <f t="shared" si="61"/>
        <v>3.2377919320594417E-2</v>
      </c>
      <c r="DQ61" s="365">
        <f t="shared" si="61"/>
        <v>3.7393162393162482E-2</v>
      </c>
      <c r="DR61" s="365">
        <f t="shared" si="76"/>
        <v>2.8426046297205465E-2</v>
      </c>
      <c r="DS61" s="365">
        <f t="shared" si="76"/>
        <v>3.1940285388720735E-2</v>
      </c>
      <c r="DT61" s="255"/>
      <c r="DU61" s="367">
        <v>40238</v>
      </c>
      <c r="DV61" s="368">
        <v>104.5</v>
      </c>
      <c r="DW61" s="368">
        <v>104</v>
      </c>
      <c r="DX61" s="369">
        <v>105.2</v>
      </c>
      <c r="DY61" s="367">
        <v>22341</v>
      </c>
      <c r="DZ61" s="368">
        <v>7.8</v>
      </c>
      <c r="EJ61" s="248" t="s">
        <v>672</v>
      </c>
      <c r="EK61" s="95">
        <v>83367500</v>
      </c>
      <c r="EL61" s="95">
        <v>902014600</v>
      </c>
      <c r="EN61" s="248" t="s">
        <v>672</v>
      </c>
      <c r="EO61" s="95">
        <v>4226100</v>
      </c>
      <c r="EP61" s="95">
        <v>45896500</v>
      </c>
      <c r="ER61" s="352">
        <f t="shared" si="14"/>
        <v>19.726816686779774</v>
      </c>
      <c r="ES61" s="352">
        <f t="shared" si="14"/>
        <v>19.653232817317225</v>
      </c>
      <c r="ET61" s="89">
        <f t="shared" si="75"/>
        <v>3.2419309478185276E-2</v>
      </c>
      <c r="EU61" s="89">
        <f t="shared" si="75"/>
        <v>3.1359834204234049E-2</v>
      </c>
      <c r="EV61" s="350">
        <v>37865</v>
      </c>
      <c r="EW61" s="352">
        <f t="shared" si="74"/>
        <v>19.50179546863486</v>
      </c>
      <c r="EX61" s="352">
        <f t="shared" si="74"/>
        <v>19.370249586544595</v>
      </c>
      <c r="EY61" s="89">
        <f t="shared" si="77"/>
        <v>3.2681939193004439E-2</v>
      </c>
      <c r="EZ61" s="89">
        <f t="shared" si="77"/>
        <v>3.1832057050460216E-2</v>
      </c>
    </row>
    <row r="62" spans="1:156" ht="15" customHeight="1">
      <c r="B62" s="248"/>
      <c r="F62" s="248"/>
      <c r="N62" s="395"/>
      <c r="O62" s="176"/>
      <c r="P62" s="255"/>
      <c r="Q62" s="255"/>
      <c r="R62">
        <v>216</v>
      </c>
      <c r="S62">
        <f>R62*R48/R16</f>
        <v>239.79563590112792</v>
      </c>
      <c r="AC62" s="396" t="s">
        <v>730</v>
      </c>
      <c r="AD62" s="397"/>
      <c r="AJ62" s="248"/>
      <c r="AL62" s="89"/>
      <c r="AM62" s="89"/>
      <c r="AN62" s="89"/>
      <c r="AO62" s="89"/>
      <c r="AT62" s="248"/>
      <c r="AU62" s="95"/>
      <c r="BB62" s="255"/>
      <c r="BC62" s="255"/>
      <c r="BD62" s="255"/>
      <c r="BE62" s="255"/>
      <c r="BF62" s="255"/>
      <c r="BG62" s="255"/>
      <c r="BH62" s="255"/>
      <c r="BI62" s="255"/>
      <c r="BP62" s="255"/>
      <c r="BQ62" s="255"/>
      <c r="BR62" s="255"/>
      <c r="BS62" s="255"/>
      <c r="BT62" s="255"/>
      <c r="BU62" s="255"/>
      <c r="BV62" s="248"/>
      <c r="CC62" s="255"/>
      <c r="CD62" s="248"/>
      <c r="CK62" s="255"/>
      <c r="CL62" s="248"/>
      <c r="CQ62" s="282" t="s">
        <v>731</v>
      </c>
      <c r="CR62" s="282"/>
      <c r="CS62" s="282"/>
      <c r="CT62" s="282"/>
      <c r="CU62" s="282"/>
      <c r="CV62" s="255"/>
      <c r="CW62" s="248" t="s">
        <v>352</v>
      </c>
      <c r="CX62">
        <v>938.10289399999999</v>
      </c>
      <c r="CY62">
        <v>938.90675199999998</v>
      </c>
      <c r="CZ62">
        <v>938.4</v>
      </c>
      <c r="DB62" s="350">
        <v>42339</v>
      </c>
      <c r="DC62" s="88">
        <f t="shared" si="59"/>
        <v>1479.9860000000001</v>
      </c>
      <c r="DD62" s="88">
        <f t="shared" si="57"/>
        <v>1392.0360000000001</v>
      </c>
      <c r="DE62" s="89">
        <f t="shared" si="78"/>
        <v>1.2867647058823595E-2</v>
      </c>
      <c r="DF62" s="89">
        <f t="shared" si="78"/>
        <v>1.5426497277676976E-2</v>
      </c>
      <c r="DG62" s="89">
        <f t="shared" si="63"/>
        <v>1.388888888888884E-2</v>
      </c>
      <c r="DH62" s="248" t="s">
        <v>672</v>
      </c>
      <c r="DI62">
        <v>24.24</v>
      </c>
      <c r="DJ62">
        <v>18.45</v>
      </c>
      <c r="DK62">
        <v>19.649999999999999</v>
      </c>
      <c r="DM62" s="353">
        <v>37865</v>
      </c>
      <c r="DN62">
        <v>19.73</v>
      </c>
      <c r="DO62">
        <v>19.649999999999999</v>
      </c>
      <c r="DP62" s="365">
        <f t="shared" si="61"/>
        <v>3.2443746729461154E-2</v>
      </c>
      <c r="DQ62" s="365">
        <f t="shared" si="61"/>
        <v>3.0954879328436435E-2</v>
      </c>
      <c r="DR62" s="365">
        <f t="shared" si="76"/>
        <v>3.2712419144792504E-2</v>
      </c>
      <c r="DS62" s="365">
        <f t="shared" si="76"/>
        <v>3.1972169549931762E-2</v>
      </c>
      <c r="DT62" s="255"/>
      <c r="DU62" s="367">
        <v>40330</v>
      </c>
      <c r="DV62" s="368">
        <v>105.1</v>
      </c>
      <c r="DW62" s="368">
        <v>104.5</v>
      </c>
      <c r="DX62" s="369">
        <v>105.7</v>
      </c>
      <c r="DY62" s="367">
        <v>22433</v>
      </c>
      <c r="DZ62" s="368">
        <v>7.9</v>
      </c>
      <c r="EJ62" s="248" t="s">
        <v>675</v>
      </c>
      <c r="EK62" s="95">
        <v>88055400</v>
      </c>
      <c r="EL62" s="95">
        <v>934859800</v>
      </c>
      <c r="EN62" s="248" t="s">
        <v>675</v>
      </c>
      <c r="EO62" s="95">
        <v>4320000</v>
      </c>
      <c r="EP62" s="95">
        <v>47129700</v>
      </c>
      <c r="ER62" s="352">
        <f t="shared" si="14"/>
        <v>20.383194444444445</v>
      </c>
      <c r="ES62" s="352">
        <f t="shared" si="14"/>
        <v>19.835895412022566</v>
      </c>
      <c r="ET62" s="89">
        <f t="shared" si="75"/>
        <v>5.265567674670768E-2</v>
      </c>
      <c r="EU62" s="89">
        <f t="shared" si="75"/>
        <v>3.3326646642981572E-2</v>
      </c>
      <c r="EV62" s="350">
        <v>37956</v>
      </c>
      <c r="EW62" s="352">
        <f t="shared" si="74"/>
        <v>19.757763721927127</v>
      </c>
      <c r="EX62" s="352">
        <f t="shared" si="74"/>
        <v>19.531362104459721</v>
      </c>
      <c r="EY62" s="89">
        <f t="shared" si="77"/>
        <v>3.6336316619062448E-2</v>
      </c>
      <c r="EZ62" s="89">
        <f t="shared" si="77"/>
        <v>3.1273369015553998E-2</v>
      </c>
    </row>
    <row r="63" spans="1:156" ht="15" customHeight="1">
      <c r="B63" s="248"/>
      <c r="F63" s="248"/>
      <c r="N63" s="395"/>
      <c r="O63" s="176"/>
      <c r="S63">
        <f>S62*1.015</f>
        <v>243.39257043964483</v>
      </c>
      <c r="AC63">
        <v>2007</v>
      </c>
      <c r="AD63" s="89">
        <f>AD47/AD4-1</f>
        <v>0.26233453670276763</v>
      </c>
      <c r="AE63" s="89">
        <f>AE47/AE4-1</f>
        <v>0.35694945848375448</v>
      </c>
      <c r="AF63" s="89">
        <f>AF47/AF4-1</f>
        <v>0.34123025768911086</v>
      </c>
      <c r="AG63" s="89"/>
      <c r="AH63" s="89"/>
      <c r="AI63" s="89"/>
      <c r="AJ63" s="398">
        <f>(1+AH5)</f>
        <v>1.0124688279301746</v>
      </c>
      <c r="AK63" s="89">
        <f>AK47/AK4-1</f>
        <v>0.39117647058823546</v>
      </c>
      <c r="AL63" s="255"/>
      <c r="AM63" s="255"/>
      <c r="AN63" s="255"/>
      <c r="AO63" s="255"/>
      <c r="AP63" s="89">
        <f>AP47/AP4-1</f>
        <v>0.35561380515508967</v>
      </c>
      <c r="AT63" s="248"/>
      <c r="AU63" s="95"/>
      <c r="BD63" s="89"/>
      <c r="BV63" s="248"/>
      <c r="CC63" s="255"/>
      <c r="CD63" s="248"/>
      <c r="CK63" s="255"/>
      <c r="CL63" s="248"/>
      <c r="CQ63" s="282" t="s">
        <v>732</v>
      </c>
      <c r="CR63" s="282"/>
      <c r="CS63" s="282"/>
      <c r="CT63" s="282"/>
      <c r="CU63" s="282"/>
      <c r="CV63" s="255"/>
      <c r="CW63" s="248" t="s">
        <v>356</v>
      </c>
      <c r="CX63">
        <v>946.94533799999999</v>
      </c>
      <c r="CY63">
        <v>946.94533799999999</v>
      </c>
      <c r="CZ63" t="s">
        <v>634</v>
      </c>
      <c r="DB63" s="350">
        <v>42430</v>
      </c>
      <c r="DC63" s="88">
        <f t="shared" si="59"/>
        <v>1486.701</v>
      </c>
      <c r="DD63" s="88">
        <f t="shared" si="57"/>
        <v>1397.0119999999999</v>
      </c>
      <c r="DE63" s="89">
        <f t="shared" si="78"/>
        <v>1.5596330275229553E-2</v>
      </c>
      <c r="DF63" s="89">
        <f t="shared" si="78"/>
        <v>1.6289592760180938E-2</v>
      </c>
      <c r="DG63" s="89">
        <f t="shared" si="63"/>
        <v>1.7592592592592604E-2</v>
      </c>
      <c r="DH63" s="248" t="s">
        <v>675</v>
      </c>
      <c r="DI63">
        <v>24.65</v>
      </c>
      <c r="DJ63">
        <v>18.57</v>
      </c>
      <c r="DK63">
        <v>19.84</v>
      </c>
      <c r="DM63" s="353">
        <v>37956</v>
      </c>
      <c r="DN63">
        <v>20.38</v>
      </c>
      <c r="DO63">
        <v>19.84</v>
      </c>
      <c r="DP63" s="365">
        <f t="shared" si="61"/>
        <v>5.2685950413223104E-2</v>
      </c>
      <c r="DQ63" s="365">
        <f t="shared" si="61"/>
        <v>3.3333333333333437E-2</v>
      </c>
      <c r="DR63" s="365">
        <f t="shared" si="76"/>
        <v>3.632858451171761E-2</v>
      </c>
      <c r="DS63" s="365">
        <f t="shared" si="76"/>
        <v>3.126823942654644E-2</v>
      </c>
      <c r="DT63" s="255"/>
      <c r="DU63" s="367">
        <v>40422</v>
      </c>
      <c r="DV63" s="368">
        <v>106.5</v>
      </c>
      <c r="DW63" s="368">
        <v>106.2</v>
      </c>
      <c r="DX63" s="369">
        <v>107</v>
      </c>
      <c r="DY63" s="367">
        <v>22525</v>
      </c>
      <c r="DZ63" s="368">
        <v>7.8</v>
      </c>
      <c r="EJ63" s="248" t="s">
        <v>678</v>
      </c>
      <c r="EK63" s="95">
        <v>89663100</v>
      </c>
      <c r="EL63" s="95">
        <v>948894300</v>
      </c>
      <c r="EN63" s="248" t="s">
        <v>678</v>
      </c>
      <c r="EO63" s="95">
        <v>4460200</v>
      </c>
      <c r="EP63" s="95">
        <v>47779000</v>
      </c>
      <c r="ER63" s="352">
        <f t="shared" si="14"/>
        <v>20.102932603919108</v>
      </c>
      <c r="ES63" s="352">
        <f t="shared" si="14"/>
        <v>19.860070323782416</v>
      </c>
      <c r="ET63" s="89">
        <f t="shared" si="75"/>
        <v>3.2645777232081397E-2</v>
      </c>
      <c r="EU63" s="89">
        <f t="shared" si="75"/>
        <v>3.3803907968229074E-2</v>
      </c>
      <c r="EV63" s="350">
        <v>38047</v>
      </c>
      <c r="EW63" s="352">
        <f t="shared" si="74"/>
        <v>19.917560846439017</v>
      </c>
      <c r="EX63" s="352">
        <f t="shared" si="74"/>
        <v>19.695104747182143</v>
      </c>
      <c r="EY63" s="89">
        <f t="shared" si="77"/>
        <v>3.7478848847880775E-2</v>
      </c>
      <c r="EZ63" s="89">
        <f t="shared" si="77"/>
        <v>3.3940400896457446E-2</v>
      </c>
    </row>
    <row r="64" spans="1:156" ht="15" customHeight="1">
      <c r="B64" s="248"/>
      <c r="F64" s="248"/>
      <c r="N64" s="395"/>
      <c r="O64" s="176"/>
      <c r="AC64">
        <v>2008</v>
      </c>
      <c r="AD64" s="89">
        <f>AD47/AD8-1</f>
        <v>0.22546728971962615</v>
      </c>
      <c r="AE64" s="89">
        <f>AE47/AE8-1</f>
        <v>0.26397646069777214</v>
      </c>
      <c r="AF64" s="89">
        <f>AF47/AF8-1</f>
        <v>0.26054687499999996</v>
      </c>
      <c r="AG64" s="89"/>
      <c r="AH64" s="89"/>
      <c r="AI64" s="89"/>
      <c r="AJ64" s="398">
        <f>AJ63*(1+AH6)</f>
        <v>1.030756442227764</v>
      </c>
      <c r="AK64" s="89">
        <f>AK47/AK8-1</f>
        <v>0.3125216788067986</v>
      </c>
      <c r="AP64" s="89">
        <f>AP47/AP8-1</f>
        <v>0.28755186721991688</v>
      </c>
      <c r="AT64" s="248"/>
      <c r="AU64" s="95"/>
      <c r="BD64" s="89"/>
      <c r="BV64" s="248"/>
      <c r="CC64" s="255"/>
      <c r="CD64" s="248"/>
      <c r="CK64" s="255"/>
      <c r="CL64" s="248"/>
      <c r="CQ64" s="282"/>
      <c r="CR64" s="282"/>
      <c r="CS64" s="282"/>
      <c r="CT64" s="282"/>
      <c r="CU64" s="282"/>
      <c r="CV64" s="255"/>
      <c r="CW64" s="248" t="s">
        <v>360</v>
      </c>
      <c r="CX64">
        <v>956.59163999999998</v>
      </c>
      <c r="CY64">
        <v>957.39549799999998</v>
      </c>
      <c r="CZ64" t="s">
        <v>634</v>
      </c>
      <c r="DB64" s="350">
        <v>42522</v>
      </c>
      <c r="DC64" s="88">
        <f t="shared" si="59"/>
        <v>1489.3869999999999</v>
      </c>
      <c r="DD64" s="88">
        <f t="shared" si="57"/>
        <v>1401.9880000000001</v>
      </c>
      <c r="DE64" s="89">
        <f t="shared" si="78"/>
        <v>1.4638609332113584E-2</v>
      </c>
      <c r="DF64" s="89">
        <f t="shared" si="78"/>
        <v>1.5315315315315381E-2</v>
      </c>
      <c r="DG64" s="89">
        <f>CA40</f>
        <v>1.6635859519408491E-2</v>
      </c>
      <c r="DH64" s="248" t="s">
        <v>678</v>
      </c>
      <c r="DI64">
        <v>24.8</v>
      </c>
      <c r="DJ64">
        <v>18.600000000000001</v>
      </c>
      <c r="DK64">
        <v>19.86</v>
      </c>
      <c r="DM64" s="353">
        <v>38047</v>
      </c>
      <c r="DN64">
        <v>20.100000000000001</v>
      </c>
      <c r="DO64">
        <v>19.86</v>
      </c>
      <c r="DP64" s="365">
        <f t="shared" si="61"/>
        <v>3.2357473035439233E-2</v>
      </c>
      <c r="DQ64" s="365">
        <f t="shared" si="61"/>
        <v>3.3836543466944313E-2</v>
      </c>
      <c r="DR64" s="365">
        <f t="shared" si="76"/>
        <v>3.74292998536776E-2</v>
      </c>
      <c r="DS64" s="365">
        <f t="shared" si="76"/>
        <v>3.3876917954344998E-2</v>
      </c>
      <c r="DT64" s="255"/>
      <c r="DU64" s="367">
        <v>40513</v>
      </c>
      <c r="DV64" s="368">
        <v>107.4</v>
      </c>
      <c r="DW64" s="368">
        <v>106.9</v>
      </c>
      <c r="DX64" s="369">
        <v>108</v>
      </c>
      <c r="DY64" s="367">
        <v>22616</v>
      </c>
      <c r="DZ64" s="368">
        <v>7.8</v>
      </c>
      <c r="EJ64" s="248" t="s">
        <v>681</v>
      </c>
      <c r="EK64" s="95">
        <v>91146100</v>
      </c>
      <c r="EL64" s="95">
        <v>963269900</v>
      </c>
      <c r="EN64" s="248" t="s">
        <v>681</v>
      </c>
      <c r="EO64" s="95">
        <v>4472300</v>
      </c>
      <c r="EP64" s="95">
        <v>47463400</v>
      </c>
      <c r="ER64" s="352">
        <f t="shared" si="14"/>
        <v>20.380139972720972</v>
      </c>
      <c r="ES64" s="352">
        <f t="shared" si="14"/>
        <v>20.295004150566541</v>
      </c>
      <c r="ET64" s="89">
        <f t="shared" si="75"/>
        <v>4.7713331067338327E-2</v>
      </c>
      <c r="EU64" s="89">
        <f t="shared" si="75"/>
        <v>4.4859667226215594E-2</v>
      </c>
      <c r="EV64" s="350">
        <v>38139</v>
      </c>
      <c r="EW64" s="352">
        <f t="shared" si="74"/>
        <v>20.152191823143731</v>
      </c>
      <c r="EX64" s="352">
        <f t="shared" si="74"/>
        <v>19.913244162860934</v>
      </c>
      <c r="EY64" s="89">
        <f t="shared" si="77"/>
        <v>4.1472241688038425E-2</v>
      </c>
      <c r="EZ64" s="89">
        <f t="shared" si="77"/>
        <v>3.5918748425061153E-2</v>
      </c>
    </row>
    <row r="65" spans="2:156" ht="15" customHeight="1">
      <c r="B65" s="248"/>
      <c r="F65" s="248"/>
      <c r="N65" s="395"/>
      <c r="O65" s="176"/>
      <c r="AC65">
        <v>2009</v>
      </c>
      <c r="AD65" s="89">
        <f>AD47/AD12-1</f>
        <v>0.15401540154015403</v>
      </c>
      <c r="AE65" s="89">
        <f>AE47/AE12-1</f>
        <v>0.21006036217303814</v>
      </c>
      <c r="AF65" s="89">
        <f>AF47/AF12-1</f>
        <v>0.19918246005202533</v>
      </c>
      <c r="AG65" s="89"/>
      <c r="AH65" s="89"/>
      <c r="AI65" s="89"/>
      <c r="AJ65" s="398">
        <f>AJ64*(1+AH7)</f>
        <v>1.0540315876974231</v>
      </c>
      <c r="AK65" s="89">
        <f>AK47/AK12-1</f>
        <v>0.25965379494008012</v>
      </c>
      <c r="AP65" s="89">
        <f>AP47/AP12-1</f>
        <v>0.2308607695358984</v>
      </c>
      <c r="AT65" s="248"/>
      <c r="AU65" s="95"/>
      <c r="AY65" s="371"/>
      <c r="BD65" s="89">
        <f>BD47/BD12-1</f>
        <v>0.16300000000000003</v>
      </c>
      <c r="BE65" s="89">
        <f>BE47/BE12-1</f>
        <v>0.16199999999999992</v>
      </c>
      <c r="BV65" s="248"/>
      <c r="CC65" s="255"/>
      <c r="CD65" s="248"/>
      <c r="CK65" s="255"/>
      <c r="CL65" s="248"/>
      <c r="CQ65" s="282" t="s">
        <v>551</v>
      </c>
      <c r="CR65" s="282"/>
      <c r="CS65" s="282"/>
      <c r="CT65" s="282"/>
      <c r="CU65" s="282"/>
      <c r="CV65" s="255"/>
      <c r="CW65" s="248" t="s">
        <v>364</v>
      </c>
      <c r="CX65">
        <v>963.826367</v>
      </c>
      <c r="CY65">
        <v>964.630225</v>
      </c>
      <c r="CZ65" t="s">
        <v>634</v>
      </c>
      <c r="DB65" s="350">
        <v>42614</v>
      </c>
      <c r="DC65" s="88">
        <f t="shared" si="59"/>
        <v>1498.788</v>
      </c>
      <c r="DD65" s="88">
        <f t="shared" si="57"/>
        <v>1408.2080000000001</v>
      </c>
      <c r="DE65" s="89">
        <f t="shared" si="78"/>
        <v>1.8248175182481674E-2</v>
      </c>
      <c r="DF65" s="89">
        <f t="shared" si="78"/>
        <v>1.6157989228007263E-2</v>
      </c>
      <c r="DG65" s="89">
        <f t="shared" ref="DG65:DG80" si="79">CA41</f>
        <v>2.1178637200736539E-2</v>
      </c>
      <c r="DH65" s="248" t="s">
        <v>681</v>
      </c>
      <c r="DI65">
        <v>24.6</v>
      </c>
      <c r="DJ65">
        <v>19.149999999999999</v>
      </c>
      <c r="DK65">
        <v>20.3</v>
      </c>
      <c r="DM65" s="353">
        <v>38139</v>
      </c>
      <c r="DN65">
        <v>20.38</v>
      </c>
      <c r="DO65">
        <v>20.3</v>
      </c>
      <c r="DP65" s="365">
        <f t="shared" si="61"/>
        <v>4.7814910025707036E-2</v>
      </c>
      <c r="DQ65" s="365">
        <f t="shared" si="61"/>
        <v>4.5314109165808469E-2</v>
      </c>
      <c r="DR65" s="365">
        <f t="shared" si="76"/>
        <v>4.128587249880411E-2</v>
      </c>
      <c r="DS65" s="365">
        <f t="shared" si="76"/>
        <v>3.5844816902946608E-2</v>
      </c>
      <c r="DT65" s="255"/>
      <c r="DU65" s="367">
        <v>40603</v>
      </c>
      <c r="DV65" s="368">
        <v>108</v>
      </c>
      <c r="DW65" s="368">
        <v>107.7</v>
      </c>
      <c r="DX65" s="369">
        <v>108.5</v>
      </c>
      <c r="DY65" s="367">
        <v>22706</v>
      </c>
      <c r="DZ65" s="368">
        <v>7.8</v>
      </c>
      <c r="EJ65" s="248" t="s">
        <v>684</v>
      </c>
      <c r="EK65" s="95">
        <v>91362000</v>
      </c>
      <c r="EL65" s="95">
        <v>960387900</v>
      </c>
      <c r="EN65" s="248" t="s">
        <v>684</v>
      </c>
      <c r="EO65" s="95">
        <v>4406600</v>
      </c>
      <c r="EP65" s="95">
        <v>47227800</v>
      </c>
      <c r="ER65" s="352">
        <f t="shared" si="14"/>
        <v>20.732991421957973</v>
      </c>
      <c r="ES65" s="352">
        <f t="shared" si="14"/>
        <v>20.335224168815824</v>
      </c>
      <c r="ET65" s="89">
        <f t="shared" si="75"/>
        <v>5.1005428354413684E-2</v>
      </c>
      <c r="EU65" s="89">
        <f t="shared" si="75"/>
        <v>3.4701229962414537E-2</v>
      </c>
      <c r="EV65" s="350">
        <v>38231</v>
      </c>
      <c r="EW65" s="352">
        <f t="shared" si="74"/>
        <v>20.39892180235686</v>
      </c>
      <c r="EX65" s="352">
        <f t="shared" si="74"/>
        <v>20.081296983806425</v>
      </c>
      <c r="EY65" s="89">
        <f t="shared" si="77"/>
        <v>4.6002242981415087E-2</v>
      </c>
      <c r="EZ65" s="89">
        <f t="shared" si="77"/>
        <v>3.6708220721934026E-2</v>
      </c>
    </row>
    <row r="66" spans="2:156" ht="15" customHeight="1">
      <c r="B66" s="248"/>
      <c r="F66" s="248"/>
      <c r="N66" s="394"/>
      <c r="AC66">
        <v>2010</v>
      </c>
      <c r="AD66" s="89">
        <f>AD47/AD16-1</f>
        <v>0.17469204927211646</v>
      </c>
      <c r="AE66" s="89">
        <f>AE47/AE16-1</f>
        <v>0.20617729643000393</v>
      </c>
      <c r="AF66" s="89">
        <f>AF47/AF16-1</f>
        <v>0.19873699851411586</v>
      </c>
      <c r="AG66" s="89"/>
      <c r="AH66" s="89"/>
      <c r="AI66" s="89"/>
      <c r="AJ66" s="398">
        <f>AJ65*(1+AH8)</f>
        <v>1.064006650041563</v>
      </c>
      <c r="AK66" s="89">
        <f>AK47/AK16-1</f>
        <v>0.21554770318021221</v>
      </c>
      <c r="AP66" s="89">
        <f>AP47/AP16-1</f>
        <v>0.21734013338564151</v>
      </c>
      <c r="AT66" s="248"/>
      <c r="AU66" s="95"/>
      <c r="AY66" s="255"/>
      <c r="BD66" s="89">
        <f>BD47/BD16-1</f>
        <v>0.14243614931237714</v>
      </c>
      <c r="BE66" s="89">
        <f>BE47/BE16-1</f>
        <v>0.14145383104125742</v>
      </c>
      <c r="BV66" s="248"/>
      <c r="CC66" s="255"/>
      <c r="CD66" s="248"/>
      <c r="CK66" s="255"/>
      <c r="CL66" s="248"/>
      <c r="CQ66" s="282" t="s">
        <v>553</v>
      </c>
      <c r="CR66" s="282"/>
      <c r="CS66" s="282"/>
      <c r="CT66" s="282"/>
      <c r="CU66" s="282"/>
      <c r="CV66" s="255"/>
      <c r="CW66" s="248" t="s">
        <v>368</v>
      </c>
      <c r="CX66">
        <v>971.86495200000002</v>
      </c>
      <c r="CY66">
        <v>972.66881000000001</v>
      </c>
      <c r="CZ66">
        <v>972.8</v>
      </c>
      <c r="DB66" s="350">
        <v>42705</v>
      </c>
      <c r="DC66" s="88">
        <f t="shared" si="59"/>
        <v>1504.16</v>
      </c>
      <c r="DD66" s="88">
        <f t="shared" si="57"/>
        <v>1414.4280000000001</v>
      </c>
      <c r="DE66" s="89">
        <f t="shared" si="78"/>
        <v>1.6333938294010864E-2</v>
      </c>
      <c r="DF66" s="89">
        <f t="shared" si="78"/>
        <v>1.6085790884718509E-2</v>
      </c>
      <c r="DG66" s="89">
        <f t="shared" si="79"/>
        <v>1.8264840182648401E-2</v>
      </c>
      <c r="DH66" s="248" t="s">
        <v>684</v>
      </c>
      <c r="DI66">
        <v>25.06</v>
      </c>
      <c r="DJ66">
        <v>19.100000000000001</v>
      </c>
      <c r="DK66">
        <v>20.34</v>
      </c>
      <c r="DM66" s="353">
        <v>38231</v>
      </c>
      <c r="DN66">
        <v>20.73</v>
      </c>
      <c r="DO66">
        <v>20.34</v>
      </c>
      <c r="DP66" s="365">
        <f t="shared" ref="DP66:DQ81" si="80">DN66/DN62-1</f>
        <v>5.0684237202230031E-2</v>
      </c>
      <c r="DQ66" s="365">
        <f t="shared" si="80"/>
        <v>3.5114503816793929E-2</v>
      </c>
      <c r="DR66" s="365">
        <f t="shared" si="76"/>
        <v>4.5854888863185783E-2</v>
      </c>
      <c r="DS66" s="365">
        <f t="shared" si="76"/>
        <v>3.6888078264352364E-2</v>
      </c>
      <c r="DT66" s="399"/>
      <c r="DU66" s="367">
        <v>40695</v>
      </c>
      <c r="DV66" s="368">
        <v>108.9</v>
      </c>
      <c r="DW66" s="368">
        <v>108.2</v>
      </c>
      <c r="DX66" s="369">
        <v>109.6</v>
      </c>
      <c r="DY66" s="367">
        <v>22798</v>
      </c>
      <c r="DZ66" s="368">
        <v>7.8</v>
      </c>
      <c r="EJ66" s="248" t="s">
        <v>687</v>
      </c>
      <c r="EK66" s="95">
        <v>94356300</v>
      </c>
      <c r="EL66" s="95">
        <v>994417900</v>
      </c>
      <c r="EN66" s="248" t="s">
        <v>687</v>
      </c>
      <c r="EO66" s="95">
        <v>4523000</v>
      </c>
      <c r="EP66" s="95">
        <v>49040500</v>
      </c>
      <c r="ER66" s="352">
        <f t="shared" si="14"/>
        <v>20.861441521114305</v>
      </c>
      <c r="ES66" s="352">
        <f t="shared" si="14"/>
        <v>20.277482896789387</v>
      </c>
      <c r="ET66" s="89">
        <f t="shared" si="75"/>
        <v>2.3462812856608339E-2</v>
      </c>
      <c r="EU66" s="89">
        <f t="shared" si="75"/>
        <v>2.2262039378326826E-2</v>
      </c>
      <c r="EV66" s="350">
        <v>38322</v>
      </c>
      <c r="EW66" s="352">
        <f t="shared" si="74"/>
        <v>20.519843691391269</v>
      </c>
      <c r="EX66" s="352">
        <f t="shared" si="74"/>
        <v>20.19192661297776</v>
      </c>
      <c r="EY66" s="89">
        <f t="shared" si="77"/>
        <v>3.8571165248746597E-2</v>
      </c>
      <c r="EZ66" s="89">
        <f t="shared" si="77"/>
        <v>3.3820708713766967E-2</v>
      </c>
    </row>
    <row r="67" spans="2:156" ht="15" customHeight="1">
      <c r="B67" s="248"/>
      <c r="F67" s="248"/>
      <c r="N67" s="394"/>
      <c r="AC67">
        <v>2011</v>
      </c>
      <c r="AD67" s="89">
        <f>AD47/AD20-1</f>
        <v>9.6993464052287592E-2</v>
      </c>
      <c r="AE67" s="89">
        <f>AE47/AE20-1</f>
        <v>0.16550387596899219</v>
      </c>
      <c r="AF67" s="89">
        <f>AF47/AF20-1</f>
        <v>0.15044563279857415</v>
      </c>
      <c r="AG67" s="89"/>
      <c r="AH67" s="89"/>
      <c r="AI67" s="89"/>
      <c r="AJ67" s="398">
        <f>SUM(AJ63:AJ66)/4</f>
        <v>1.0403158769742311</v>
      </c>
      <c r="AK67" s="89">
        <f>AK47/AK20-1</f>
        <v>0.18323952470293947</v>
      </c>
      <c r="AP67" s="89">
        <f>AP47/AP20-1</f>
        <v>0.18119527978682926</v>
      </c>
      <c r="AT67" s="248"/>
      <c r="AU67" s="95"/>
      <c r="AY67" s="255"/>
      <c r="BD67" s="89">
        <f>BD47/BD20-1</f>
        <v>0.12475822050290142</v>
      </c>
      <c r="BE67" s="89">
        <f>BE47/BE20-1</f>
        <v>0.12379110251450687</v>
      </c>
      <c r="BV67" s="248"/>
      <c r="CC67" s="255"/>
      <c r="CD67" s="248"/>
      <c r="CK67" s="255"/>
      <c r="CL67" s="248"/>
      <c r="CQ67" s="282" t="s">
        <v>554</v>
      </c>
      <c r="CR67" s="282"/>
      <c r="CS67" s="282"/>
      <c r="CT67" s="282"/>
      <c r="CU67" s="282"/>
      <c r="CV67" s="255"/>
      <c r="CW67" s="248" t="s">
        <v>372</v>
      </c>
      <c r="CX67">
        <v>983.92282999999998</v>
      </c>
      <c r="CY67">
        <v>984.72668799999997</v>
      </c>
      <c r="CZ67" t="s">
        <v>634</v>
      </c>
      <c r="DB67" s="350">
        <v>42795</v>
      </c>
      <c r="DC67" s="88">
        <f>CR$36*CN43/1000</f>
        <v>1508.1890000000001</v>
      </c>
      <c r="DD67" s="88">
        <f>CT$36*CY101/1000</f>
        <v>1419.404</v>
      </c>
      <c r="DE67" s="89">
        <f t="shared" si="78"/>
        <v>1.4453477868112019E-2</v>
      </c>
      <c r="DF67" s="89">
        <f t="shared" si="78"/>
        <v>1.6028495102404339E-2</v>
      </c>
      <c r="DG67" s="89">
        <f t="shared" si="79"/>
        <v>1.5468607825295688E-2</v>
      </c>
      <c r="DH67" s="248" t="s">
        <v>687</v>
      </c>
      <c r="DI67">
        <v>25.3</v>
      </c>
      <c r="DJ67">
        <v>18.98</v>
      </c>
      <c r="DK67">
        <v>20.28</v>
      </c>
      <c r="DM67" s="353">
        <v>38322</v>
      </c>
      <c r="DN67">
        <v>20.86</v>
      </c>
      <c r="DO67">
        <v>20.28</v>
      </c>
      <c r="DP67" s="365">
        <f t="shared" si="80"/>
        <v>2.3552502453385804E-2</v>
      </c>
      <c r="DQ67" s="365">
        <f t="shared" si="80"/>
        <v>2.2177419354838745E-2</v>
      </c>
      <c r="DR67" s="365">
        <f t="shared" si="76"/>
        <v>3.8542455855410385E-2</v>
      </c>
      <c r="DS67" s="365">
        <f t="shared" si="76"/>
        <v>3.4078103515235991E-2</v>
      </c>
      <c r="DT67" s="255"/>
      <c r="DU67" s="367">
        <v>40787</v>
      </c>
      <c r="DV67" s="368">
        <v>109.9</v>
      </c>
      <c r="DW67" s="368">
        <v>109.6</v>
      </c>
      <c r="DX67" s="369">
        <v>110.3</v>
      </c>
      <c r="DY67" s="367">
        <v>22890</v>
      </c>
      <c r="DZ67" s="368">
        <v>7.8</v>
      </c>
      <c r="EJ67" s="248" t="s">
        <v>689</v>
      </c>
      <c r="EK67" s="95">
        <v>95368200</v>
      </c>
      <c r="EL67" s="95">
        <v>1011032900</v>
      </c>
      <c r="EN67" s="248" t="s">
        <v>689</v>
      </c>
      <c r="EO67" s="95">
        <v>4504800</v>
      </c>
      <c r="EP67" s="95">
        <v>49107800</v>
      </c>
      <c r="ER67" s="352">
        <f t="shared" si="14"/>
        <v>21.170351624933403</v>
      </c>
      <c r="ES67" s="352">
        <f t="shared" si="14"/>
        <v>20.588030821987545</v>
      </c>
      <c r="ET67" s="89">
        <f t="shared" si="75"/>
        <v>5.3097676943223648E-2</v>
      </c>
      <c r="EU67" s="89">
        <f t="shared" si="75"/>
        <v>3.6654477367756177E-2</v>
      </c>
      <c r="EV67" s="350">
        <v>38412</v>
      </c>
      <c r="EW67" s="352">
        <f t="shared" si="74"/>
        <v>20.787336583513433</v>
      </c>
      <c r="EX67" s="352">
        <f t="shared" si="74"/>
        <v>20.375019640685647</v>
      </c>
      <c r="EY67" s="89">
        <f t="shared" si="77"/>
        <v>4.3668787748672555E-2</v>
      </c>
      <c r="EZ67" s="89">
        <f t="shared" si="77"/>
        <v>3.4522024748346869E-2</v>
      </c>
    </row>
    <row r="68" spans="2:156" ht="15" customHeight="1">
      <c r="B68" s="248"/>
      <c r="F68" s="248"/>
      <c r="N68" s="394"/>
      <c r="AL68" s="255"/>
      <c r="AM68" s="255"/>
      <c r="AT68" s="248"/>
      <c r="AU68" s="95"/>
      <c r="AY68" s="255"/>
      <c r="BV68" s="248"/>
      <c r="CC68" s="255"/>
      <c r="CD68" s="248"/>
      <c r="CK68" s="255"/>
      <c r="CL68" s="248"/>
      <c r="CQ68" s="400" t="s">
        <v>555</v>
      </c>
      <c r="CR68" s="400"/>
      <c r="CS68" s="400"/>
      <c r="CT68" s="400"/>
      <c r="CU68" s="400"/>
      <c r="CV68" s="399"/>
      <c r="CW68" s="248" t="s">
        <v>376</v>
      </c>
      <c r="CX68">
        <v>991.157556</v>
      </c>
      <c r="CY68">
        <v>991.157556</v>
      </c>
      <c r="CZ68" t="s">
        <v>634</v>
      </c>
      <c r="DB68" s="350">
        <v>42887</v>
      </c>
      <c r="DC68" s="88">
        <f t="shared" ref="DC68:DC80" si="81">CR$36*CN44/1000</f>
        <v>1512.2180000000001</v>
      </c>
      <c r="DD68" s="88">
        <f t="shared" ref="DD68:DD80" si="82">CT$36*CY102/1000</f>
        <v>1425.624</v>
      </c>
      <c r="DE68" s="89">
        <f t="shared" si="78"/>
        <v>1.5329125338142457E-2</v>
      </c>
      <c r="DF68" s="89">
        <f t="shared" si="78"/>
        <v>1.685891748003554E-2</v>
      </c>
      <c r="DG68" s="89">
        <f t="shared" si="79"/>
        <v>1.7272727272727328E-2</v>
      </c>
      <c r="DH68" s="248" t="s">
        <v>689</v>
      </c>
      <c r="DI68">
        <v>26.38</v>
      </c>
      <c r="DJ68">
        <v>19.18</v>
      </c>
      <c r="DK68">
        <v>20.59</v>
      </c>
      <c r="DM68" s="353">
        <v>38412</v>
      </c>
      <c r="DN68">
        <v>21.17</v>
      </c>
      <c r="DO68">
        <v>20.59</v>
      </c>
      <c r="DP68" s="365">
        <f t="shared" si="80"/>
        <v>5.3233830845771157E-2</v>
      </c>
      <c r="DQ68" s="365">
        <f t="shared" si="80"/>
        <v>3.6757301107754214E-2</v>
      </c>
      <c r="DR68" s="365">
        <f t="shared" si="76"/>
        <v>4.3753461934363358E-2</v>
      </c>
      <c r="DS68" s="365">
        <f t="shared" si="76"/>
        <v>3.4807691039801858E-2</v>
      </c>
      <c r="DT68" s="255"/>
      <c r="DU68" s="367">
        <v>40878</v>
      </c>
      <c r="DV68" s="368">
        <v>110.6</v>
      </c>
      <c r="DW68" s="368">
        <v>110.1</v>
      </c>
      <c r="DX68" s="369">
        <v>111.2</v>
      </c>
      <c r="DY68" s="367">
        <v>22981</v>
      </c>
      <c r="DZ68" s="368">
        <v>7.8</v>
      </c>
      <c r="EJ68" s="248" t="s">
        <v>691</v>
      </c>
      <c r="EK68" s="95">
        <v>99437000</v>
      </c>
      <c r="EL68" s="95">
        <v>1017682100</v>
      </c>
      <c r="EN68" s="248" t="s">
        <v>691</v>
      </c>
      <c r="EO68" s="95">
        <v>4598700</v>
      </c>
      <c r="EP68" s="95">
        <v>48434100</v>
      </c>
      <c r="ER68" s="352">
        <f t="shared" ref="ER68:ES107" si="83">EK68/EO68</f>
        <v>21.622849935851438</v>
      </c>
      <c r="ES68" s="352">
        <f t="shared" si="83"/>
        <v>21.011685981570835</v>
      </c>
      <c r="ET68" s="89">
        <f t="shared" si="75"/>
        <v>6.0976517570234812E-2</v>
      </c>
      <c r="EU68" s="89">
        <f t="shared" si="75"/>
        <v>3.5313214310640495E-2</v>
      </c>
      <c r="EV68" s="350">
        <v>38504</v>
      </c>
      <c r="EW68" s="352">
        <f t="shared" si="74"/>
        <v>21.1013913303869</v>
      </c>
      <c r="EX68" s="352">
        <f t="shared" si="74"/>
        <v>20.553721114781368</v>
      </c>
      <c r="EY68" s="89">
        <f t="shared" si="77"/>
        <v>4.7101551810015074E-2</v>
      </c>
      <c r="EZ68" s="89">
        <f t="shared" si="77"/>
        <v>3.2163365581332704E-2</v>
      </c>
    </row>
    <row r="69" spans="2:156" ht="15" customHeight="1">
      <c r="B69" s="248"/>
      <c r="F69" s="248"/>
      <c r="N69" s="394"/>
      <c r="AL69" s="255"/>
      <c r="AM69" s="255"/>
      <c r="AT69" s="248"/>
      <c r="AU69" s="95"/>
      <c r="AY69" s="371"/>
      <c r="BV69" s="248"/>
      <c r="CC69" s="255"/>
      <c r="CD69" s="248"/>
      <c r="CK69" s="255"/>
      <c r="CL69" s="248"/>
      <c r="CQ69" s="282"/>
      <c r="CR69" s="282"/>
      <c r="CS69" s="282"/>
      <c r="CT69" s="282"/>
      <c r="CU69" s="282"/>
      <c r="CV69" s="255"/>
      <c r="CW69" s="248" t="s">
        <v>380</v>
      </c>
      <c r="CX69">
        <v>996.78456600000004</v>
      </c>
      <c r="CY69">
        <v>996.78456600000004</v>
      </c>
      <c r="CZ69" t="s">
        <v>634</v>
      </c>
      <c r="DB69" s="350">
        <v>42979</v>
      </c>
      <c r="DC69" s="88">
        <f t="shared" si="81"/>
        <v>1547.136</v>
      </c>
      <c r="DD69" s="88">
        <f t="shared" si="82"/>
        <v>1434.3320000000001</v>
      </c>
      <c r="DE69" s="89">
        <f t="shared" si="78"/>
        <v>3.2258064516129004E-2</v>
      </c>
      <c r="DF69" s="89">
        <f t="shared" si="78"/>
        <v>1.8551236749116518E-2</v>
      </c>
      <c r="DG69" s="89">
        <f t="shared" si="79"/>
        <v>9.0171325518484391E-3</v>
      </c>
      <c r="DH69" s="248" t="s">
        <v>691</v>
      </c>
      <c r="DI69">
        <v>26.9</v>
      </c>
      <c r="DJ69">
        <v>19.55</v>
      </c>
      <c r="DK69">
        <v>21.01</v>
      </c>
      <c r="DM69" s="353">
        <v>38504</v>
      </c>
      <c r="DN69">
        <v>21.62</v>
      </c>
      <c r="DO69">
        <v>21.01</v>
      </c>
      <c r="DP69" s="365">
        <f t="shared" si="80"/>
        <v>6.084396467124642E-2</v>
      </c>
      <c r="DQ69" s="365">
        <f t="shared" si="80"/>
        <v>3.4975369458128069E-2</v>
      </c>
      <c r="DR69" s="365">
        <f t="shared" si="76"/>
        <v>4.6983079343535517E-2</v>
      </c>
      <c r="DS69" s="365">
        <f t="shared" si="76"/>
        <v>3.2239439431233086E-2</v>
      </c>
      <c r="DT69" s="399"/>
      <c r="DU69" s="367">
        <v>40969</v>
      </c>
      <c r="DV69" s="368">
        <v>111.3</v>
      </c>
      <c r="DW69" s="368">
        <v>110.9</v>
      </c>
      <c r="DX69" s="369">
        <v>111.7</v>
      </c>
      <c r="DY69" s="367">
        <v>23071</v>
      </c>
      <c r="DZ69" s="368">
        <v>7.8</v>
      </c>
      <c r="EJ69" s="248" t="s">
        <v>693</v>
      </c>
      <c r="EK69" s="95">
        <v>101427500</v>
      </c>
      <c r="EL69" s="95">
        <v>1024966800</v>
      </c>
      <c r="EN69" s="248" t="s">
        <v>693</v>
      </c>
      <c r="EO69" s="95">
        <v>4633000</v>
      </c>
      <c r="EP69" s="95">
        <v>48328200</v>
      </c>
      <c r="ER69" s="352">
        <f t="shared" si="83"/>
        <v>21.892402331102957</v>
      </c>
      <c r="ES69" s="352">
        <f t="shared" si="83"/>
        <v>21.20846214011695</v>
      </c>
      <c r="ET69" s="89">
        <f t="shared" si="75"/>
        <v>5.5921062501240071E-2</v>
      </c>
      <c r="EU69" s="89">
        <f t="shared" si="75"/>
        <v>4.2942136464875658E-2</v>
      </c>
      <c r="EV69" s="350">
        <v>38596</v>
      </c>
      <c r="EW69" s="352">
        <f t="shared" si="74"/>
        <v>21.391001944193434</v>
      </c>
      <c r="EX69" s="352">
        <f t="shared" si="74"/>
        <v>20.769007432125292</v>
      </c>
      <c r="EY69" s="89">
        <f t="shared" si="77"/>
        <v>4.863394994346959E-2</v>
      </c>
      <c r="EZ69" s="89">
        <f t="shared" si="77"/>
        <v>3.4246316304840096E-2</v>
      </c>
    </row>
    <row r="70" spans="2:156" ht="15" customHeight="1">
      <c r="B70" s="278" t="s">
        <v>401</v>
      </c>
      <c r="C70" s="278"/>
      <c r="F70" s="278" t="s">
        <v>401</v>
      </c>
      <c r="G70" s="278"/>
      <c r="H70" s="278"/>
      <c r="I70" s="278"/>
      <c r="J70" s="371"/>
      <c r="K70" s="371"/>
      <c r="L70" s="371"/>
      <c r="N70" s="278" t="s">
        <v>401</v>
      </c>
      <c r="O70" s="278"/>
      <c r="V70" s="278" t="s">
        <v>401</v>
      </c>
      <c r="W70" s="278"/>
      <c r="X70" s="371"/>
      <c r="Y70" s="371"/>
      <c r="Z70" s="371"/>
      <c r="AA70" s="371"/>
      <c r="AB70" s="371"/>
      <c r="AC70" s="401" t="s">
        <v>401</v>
      </c>
      <c r="AD70" s="371"/>
      <c r="AE70" s="371"/>
      <c r="AF70" s="371"/>
      <c r="AG70" s="371"/>
      <c r="AH70" s="371"/>
      <c r="AI70" s="371"/>
      <c r="AJ70" s="401" t="s">
        <v>401</v>
      </c>
      <c r="AK70" s="371"/>
      <c r="AL70" s="371"/>
      <c r="AM70" s="371"/>
      <c r="AO70" s="401" t="s">
        <v>401</v>
      </c>
      <c r="AP70" s="371"/>
      <c r="AQ70" s="371"/>
      <c r="AR70" s="371"/>
      <c r="AT70" s="278" t="s">
        <v>401</v>
      </c>
      <c r="AU70" s="278"/>
      <c r="AX70" s="278" t="s">
        <v>401</v>
      </c>
      <c r="AY70" s="278"/>
      <c r="BC70" s="278" t="s">
        <v>401</v>
      </c>
      <c r="BD70" s="278"/>
      <c r="BE70" s="278"/>
      <c r="BF70" s="278"/>
      <c r="BJ70" s="402"/>
      <c r="BV70" s="278" t="s">
        <v>401</v>
      </c>
      <c r="BW70" s="278"/>
      <c r="BX70" s="278"/>
      <c r="BY70" s="278"/>
      <c r="BZ70" s="371"/>
      <c r="CA70" s="371"/>
      <c r="CB70" s="371"/>
      <c r="CD70" s="278" t="s">
        <v>401</v>
      </c>
      <c r="CE70" s="278"/>
      <c r="CF70" s="278"/>
      <c r="CG70" s="371"/>
      <c r="CH70" s="371"/>
      <c r="CI70" s="371"/>
      <c r="CJ70" s="371"/>
      <c r="CL70" s="278" t="s">
        <v>401</v>
      </c>
      <c r="CM70" s="278"/>
      <c r="CN70" s="278"/>
      <c r="CO70" s="278" t="s">
        <v>401</v>
      </c>
      <c r="CP70" s="278"/>
      <c r="CQ70" s="282"/>
      <c r="CR70" s="282"/>
      <c r="CS70" s="282"/>
      <c r="CT70" s="282"/>
      <c r="CU70" s="282"/>
      <c r="CV70" s="255"/>
      <c r="CW70" s="248" t="s">
        <v>384</v>
      </c>
      <c r="CX70">
        <v>1000</v>
      </c>
      <c r="CY70">
        <v>1000</v>
      </c>
      <c r="CZ70">
        <v>1000</v>
      </c>
      <c r="DB70" s="350">
        <v>43070</v>
      </c>
      <c r="DC70" s="88">
        <f t="shared" si="81"/>
        <v>1557.88</v>
      </c>
      <c r="DD70" s="88">
        <f t="shared" si="82"/>
        <v>1440.5519999999999</v>
      </c>
      <c r="DE70" s="89">
        <f t="shared" si="78"/>
        <v>3.5714285714285809E-2</v>
      </c>
      <c r="DF70" s="89">
        <f t="shared" si="78"/>
        <v>1.846965699208436E-2</v>
      </c>
      <c r="DG70" s="89">
        <f t="shared" si="79"/>
        <v>8.9686098654708779E-3</v>
      </c>
      <c r="DH70" s="248" t="s">
        <v>693</v>
      </c>
      <c r="DI70">
        <v>26.7</v>
      </c>
      <c r="DJ70">
        <v>19.8</v>
      </c>
      <c r="DK70">
        <v>21.21</v>
      </c>
      <c r="DM70" s="353">
        <v>38596</v>
      </c>
      <c r="DN70">
        <v>21.89</v>
      </c>
      <c r="DO70">
        <v>21.21</v>
      </c>
      <c r="DP70" s="365">
        <f t="shared" si="80"/>
        <v>5.5957549445248445E-2</v>
      </c>
      <c r="DQ70" s="365">
        <f t="shared" si="80"/>
        <v>4.2772861356932257E-2</v>
      </c>
      <c r="DR70" s="365">
        <f t="shared" si="76"/>
        <v>4.8294298169709204E-2</v>
      </c>
      <c r="DS70" s="365">
        <f t="shared" si="76"/>
        <v>3.4143436529700866E-2</v>
      </c>
      <c r="DT70" s="255"/>
      <c r="DU70" s="367">
        <v>41061</v>
      </c>
      <c r="DV70" s="368">
        <v>111.7</v>
      </c>
      <c r="DW70" s="368">
        <v>111.6</v>
      </c>
      <c r="DX70" s="369">
        <v>111.9</v>
      </c>
      <c r="DY70" s="367">
        <v>23163</v>
      </c>
      <c r="DZ70" s="368">
        <v>7.8</v>
      </c>
      <c r="EJ70" s="248" t="s">
        <v>695</v>
      </c>
      <c r="EK70" s="95">
        <v>103789100</v>
      </c>
      <c r="EL70" s="95">
        <v>1051844900</v>
      </c>
      <c r="EN70" s="248" t="s">
        <v>695</v>
      </c>
      <c r="EO70" s="95">
        <v>4670800</v>
      </c>
      <c r="EP70" s="95">
        <v>49170300</v>
      </c>
      <c r="ER70" s="352">
        <f t="shared" si="83"/>
        <v>22.220840113042733</v>
      </c>
      <c r="ES70" s="352">
        <f t="shared" si="83"/>
        <v>21.391874769932254</v>
      </c>
      <c r="ET70" s="89">
        <f t="shared" si="75"/>
        <v>6.5163214658610746E-2</v>
      </c>
      <c r="EU70" s="89">
        <f t="shared" si="75"/>
        <v>5.495711074273979E-2</v>
      </c>
      <c r="EV70" s="350">
        <v>38687</v>
      </c>
      <c r="EW70" s="352">
        <f t="shared" si="74"/>
        <v>21.731693404247228</v>
      </c>
      <c r="EX70" s="352">
        <f t="shared" si="74"/>
        <v>21.049622027026196</v>
      </c>
      <c r="EY70" s="89">
        <f t="shared" si="77"/>
        <v>5.9057453413466687E-2</v>
      </c>
      <c r="EZ70" s="89">
        <f t="shared" si="77"/>
        <v>4.2477145964723295E-2</v>
      </c>
    </row>
    <row r="71" spans="2:156" ht="15" customHeight="1">
      <c r="B71" s="282" t="s">
        <v>407</v>
      </c>
      <c r="C71" s="282"/>
      <c r="F71" s="282" t="s">
        <v>407</v>
      </c>
      <c r="G71" s="282"/>
      <c r="H71" s="282"/>
      <c r="I71" s="282"/>
      <c r="J71" s="255"/>
      <c r="K71" s="255"/>
      <c r="L71" s="255"/>
      <c r="N71" s="282" t="s">
        <v>407</v>
      </c>
      <c r="O71" s="282"/>
      <c r="V71" s="282" t="s">
        <v>407</v>
      </c>
      <c r="W71" s="282"/>
      <c r="X71" s="255"/>
      <c r="Y71" s="255"/>
      <c r="Z71" s="255"/>
      <c r="AA71" s="255"/>
      <c r="AB71" s="255"/>
      <c r="AC71" s="397" t="s">
        <v>407</v>
      </c>
      <c r="AD71" s="255"/>
      <c r="AE71" s="255"/>
      <c r="AF71" s="255"/>
      <c r="AG71" s="255"/>
      <c r="AH71" s="255"/>
      <c r="AI71" s="255"/>
      <c r="AJ71" s="397" t="s">
        <v>407</v>
      </c>
      <c r="AK71" s="255"/>
      <c r="AL71" s="255"/>
      <c r="AM71" s="255"/>
      <c r="AO71" s="397" t="s">
        <v>407</v>
      </c>
      <c r="AP71" s="255"/>
      <c r="AQ71" s="255"/>
      <c r="AR71" s="255"/>
      <c r="AT71" s="282" t="s">
        <v>407</v>
      </c>
      <c r="AU71" s="282"/>
      <c r="AX71" s="282" t="s">
        <v>407</v>
      </c>
      <c r="AY71" s="282"/>
      <c r="BC71" s="282" t="s">
        <v>407</v>
      </c>
      <c r="BD71" s="282"/>
      <c r="BE71" s="282"/>
      <c r="BF71" s="282"/>
      <c r="BJ71" s="380"/>
      <c r="BV71" s="282" t="s">
        <v>407</v>
      </c>
      <c r="BW71" s="282"/>
      <c r="BX71" s="282"/>
      <c r="BY71" s="282"/>
      <c r="BZ71" s="255"/>
      <c r="CA71" s="255"/>
      <c r="CB71" s="255"/>
      <c r="CD71" s="282" t="s">
        <v>407</v>
      </c>
      <c r="CE71" s="282"/>
      <c r="CF71" s="282"/>
      <c r="CG71" s="255"/>
      <c r="CH71" s="255"/>
      <c r="CI71" s="255"/>
      <c r="CJ71" s="255"/>
      <c r="CL71" s="282" t="s">
        <v>407</v>
      </c>
      <c r="CM71" s="282"/>
      <c r="CN71" s="282"/>
      <c r="CO71" s="282" t="s">
        <v>407</v>
      </c>
      <c r="CP71" s="282"/>
      <c r="CQ71" s="255"/>
      <c r="CR71" s="255"/>
      <c r="CS71" s="255"/>
      <c r="CT71" s="255"/>
      <c r="CU71" s="255"/>
      <c r="CV71" s="255"/>
      <c r="CW71" s="248" t="s">
        <v>388</v>
      </c>
      <c r="CX71">
        <v>1005</v>
      </c>
      <c r="CY71">
        <v>1005</v>
      </c>
      <c r="CZ71" t="s">
        <v>634</v>
      </c>
      <c r="DB71" s="350">
        <v>43160</v>
      </c>
      <c r="DC71" s="88">
        <f t="shared" si="81"/>
        <v>1561.9090000000001</v>
      </c>
      <c r="DD71" s="88">
        <f t="shared" si="82"/>
        <v>1445.528</v>
      </c>
      <c r="DE71" s="89">
        <f t="shared" si="78"/>
        <v>3.5618878005342802E-2</v>
      </c>
      <c r="DF71" s="89">
        <f t="shared" si="78"/>
        <v>1.8404907975460238E-2</v>
      </c>
      <c r="DG71" s="89">
        <f t="shared" si="79"/>
        <v>9.8566308243728251E-3</v>
      </c>
      <c r="DH71" s="248" t="s">
        <v>695</v>
      </c>
      <c r="DI71">
        <v>26.97</v>
      </c>
      <c r="DJ71">
        <v>19.940000000000001</v>
      </c>
      <c r="DK71">
        <v>21.39</v>
      </c>
      <c r="DM71" s="353">
        <v>38687</v>
      </c>
      <c r="DN71">
        <v>22.22</v>
      </c>
      <c r="DO71">
        <v>21.39</v>
      </c>
      <c r="DP71" s="365">
        <f t="shared" si="80"/>
        <v>6.5196548418024802E-2</v>
      </c>
      <c r="DQ71" s="365">
        <f t="shared" si="80"/>
        <v>5.4733727810650779E-2</v>
      </c>
      <c r="DR71" s="365">
        <f t="shared" si="76"/>
        <v>5.8798043535532196E-2</v>
      </c>
      <c r="DS71" s="365">
        <f t="shared" si="76"/>
        <v>4.2281232126077928E-2</v>
      </c>
      <c r="DT71" s="255"/>
      <c r="DU71" s="367">
        <v>41153</v>
      </c>
      <c r="DV71" s="368">
        <v>113.4</v>
      </c>
      <c r="DW71" s="368">
        <v>113.4</v>
      </c>
      <c r="DX71" s="369">
        <v>113.4</v>
      </c>
      <c r="DY71" s="367">
        <v>23255</v>
      </c>
      <c r="DZ71" s="368">
        <v>7.9</v>
      </c>
      <c r="EJ71" s="248" t="s">
        <v>697</v>
      </c>
      <c r="EK71" s="95">
        <v>104952600</v>
      </c>
      <c r="EL71" s="95">
        <v>1077154200</v>
      </c>
      <c r="EN71" s="248" t="s">
        <v>697</v>
      </c>
      <c r="EO71" s="95">
        <v>4635800</v>
      </c>
      <c r="EP71" s="95">
        <v>49682000</v>
      </c>
      <c r="ER71" s="352">
        <f t="shared" si="83"/>
        <v>22.639587557703095</v>
      </c>
      <c r="ES71" s="352">
        <f t="shared" si="83"/>
        <v>21.680975001006402</v>
      </c>
      <c r="ET71" s="89">
        <f t="shared" si="75"/>
        <v>6.9400639101303341E-2</v>
      </c>
      <c r="EU71" s="89">
        <f t="shared" si="75"/>
        <v>5.3086387351412911E-2</v>
      </c>
      <c r="EV71" s="350">
        <v>38777</v>
      </c>
      <c r="EW71" s="352">
        <f t="shared" ref="EW71:EX86" si="84">SUM(EK68:EK71)/SUM(EO68:EO71)</f>
        <v>22.095132779165297</v>
      </c>
      <c r="EX71" s="352">
        <f t="shared" si="84"/>
        <v>21.325851955835606</v>
      </c>
      <c r="EY71" s="89">
        <f t="shared" si="77"/>
        <v>6.2913119744695267E-2</v>
      </c>
      <c r="EZ71" s="89">
        <f t="shared" si="77"/>
        <v>4.6666571709766513E-2</v>
      </c>
    </row>
    <row r="72" spans="2:156" ht="15" customHeight="1">
      <c r="B72" s="282" t="s">
        <v>716</v>
      </c>
      <c r="C72" s="282"/>
      <c r="F72" s="282" t="s">
        <v>716</v>
      </c>
      <c r="G72" s="282"/>
      <c r="H72" s="282"/>
      <c r="I72" s="282"/>
      <c r="J72" s="255"/>
      <c r="K72" s="255"/>
      <c r="L72" s="255"/>
      <c r="N72" s="282" t="s">
        <v>716</v>
      </c>
      <c r="O72" s="282"/>
      <c r="V72" s="282" t="s">
        <v>716</v>
      </c>
      <c r="W72" s="282"/>
      <c r="X72" s="255"/>
      <c r="Y72" s="255"/>
      <c r="Z72" s="255"/>
      <c r="AA72" s="255"/>
      <c r="AB72" s="255"/>
      <c r="AC72" s="397" t="s">
        <v>733</v>
      </c>
      <c r="AD72" s="255"/>
      <c r="AE72" s="255"/>
      <c r="AF72" s="255"/>
      <c r="AG72" s="255"/>
      <c r="AH72" s="255"/>
      <c r="AI72" s="255"/>
      <c r="AJ72" s="397" t="s">
        <v>733</v>
      </c>
      <c r="AK72" s="255"/>
      <c r="AL72" s="255"/>
      <c r="AM72" s="255"/>
      <c r="AN72" s="255"/>
      <c r="AO72" s="397" t="s">
        <v>733</v>
      </c>
      <c r="AP72" s="255"/>
      <c r="AQ72" s="255"/>
      <c r="AR72" s="255"/>
      <c r="AT72" s="282" t="s">
        <v>733</v>
      </c>
      <c r="AU72" s="282"/>
      <c r="AX72" s="282" t="s">
        <v>413</v>
      </c>
      <c r="AY72" s="282"/>
      <c r="BC72" s="282" t="s">
        <v>716</v>
      </c>
      <c r="BD72" s="282"/>
      <c r="BE72" s="282"/>
      <c r="BF72" s="282"/>
      <c r="BJ72" s="380"/>
      <c r="BV72" s="282" t="s">
        <v>716</v>
      </c>
      <c r="BW72" s="282"/>
      <c r="BX72" s="282"/>
      <c r="BY72" s="282"/>
      <c r="BZ72" s="255"/>
      <c r="CA72" s="255"/>
      <c r="CB72" s="255"/>
      <c r="CD72" s="282" t="s">
        <v>716</v>
      </c>
      <c r="CE72" s="282"/>
      <c r="CF72" s="282"/>
      <c r="CG72" s="255"/>
      <c r="CH72" s="255"/>
      <c r="CI72" s="255"/>
      <c r="CJ72" s="255"/>
      <c r="CL72" s="282" t="s">
        <v>716</v>
      </c>
      <c r="CM72" s="282"/>
      <c r="CN72" s="282"/>
      <c r="CO72" s="282" t="s">
        <v>716</v>
      </c>
      <c r="CP72" s="282"/>
      <c r="CQ72" s="399"/>
      <c r="CR72" s="399"/>
      <c r="CS72" s="399"/>
      <c r="CT72" s="399"/>
      <c r="CU72" s="399"/>
      <c r="CV72" s="399"/>
      <c r="CW72" s="248" t="s">
        <v>392</v>
      </c>
      <c r="CX72">
        <v>1009</v>
      </c>
      <c r="CY72">
        <v>1009</v>
      </c>
      <c r="CZ72" t="s">
        <v>634</v>
      </c>
      <c r="DB72" s="350">
        <v>43252</v>
      </c>
      <c r="DC72" s="88">
        <f t="shared" si="81"/>
        <v>1564.595</v>
      </c>
      <c r="DD72" s="88">
        <f t="shared" si="82"/>
        <v>1452.992</v>
      </c>
      <c r="DE72" s="89">
        <f t="shared" si="78"/>
        <v>3.4635879218472443E-2</v>
      </c>
      <c r="DF72" s="89">
        <f t="shared" si="78"/>
        <v>1.919720767888311E-2</v>
      </c>
      <c r="DG72" s="89">
        <f t="shared" si="79"/>
        <v>8.936550491510209E-3</v>
      </c>
      <c r="DH72" s="248" t="s">
        <v>697</v>
      </c>
      <c r="DI72">
        <v>28.35</v>
      </c>
      <c r="DJ72">
        <v>20.059999999999999</v>
      </c>
      <c r="DK72">
        <v>21.68</v>
      </c>
      <c r="DM72" s="353">
        <v>38777</v>
      </c>
      <c r="DN72">
        <v>22.64</v>
      </c>
      <c r="DO72">
        <v>21.68</v>
      </c>
      <c r="DP72" s="365">
        <f t="shared" si="80"/>
        <v>6.9437883797827116E-2</v>
      </c>
      <c r="DQ72" s="365">
        <f t="shared" si="80"/>
        <v>5.2938319572608084E-2</v>
      </c>
      <c r="DR72" s="365">
        <f t="shared" si="76"/>
        <v>6.2847171489589293E-2</v>
      </c>
      <c r="DS72" s="365">
        <f t="shared" si="76"/>
        <v>4.6324452591113729E-2</v>
      </c>
      <c r="DT72" s="399"/>
      <c r="DU72" s="367">
        <v>41244</v>
      </c>
      <c r="DV72" s="368">
        <v>114.4</v>
      </c>
      <c r="DW72" s="368">
        <v>114</v>
      </c>
      <c r="DX72" s="369">
        <v>114.9</v>
      </c>
      <c r="DY72" s="367">
        <v>23346</v>
      </c>
      <c r="DZ72" s="368">
        <v>7.9</v>
      </c>
      <c r="EJ72" s="248" t="s">
        <v>699</v>
      </c>
      <c r="EK72" s="95">
        <v>106746100</v>
      </c>
      <c r="EL72" s="95">
        <v>1089351100</v>
      </c>
      <c r="EN72" s="248" t="s">
        <v>699</v>
      </c>
      <c r="EO72" s="95">
        <v>4743200</v>
      </c>
      <c r="EP72" s="95">
        <v>49627200</v>
      </c>
      <c r="ER72" s="352">
        <f t="shared" si="83"/>
        <v>22.505080958003035</v>
      </c>
      <c r="ES72" s="352">
        <f t="shared" si="83"/>
        <v>21.950686317180899</v>
      </c>
      <c r="ET72" s="89">
        <f t="shared" ref="ET72:EU87" si="85">ER72/ER68-1</f>
        <v>4.0800866896311794E-2</v>
      </c>
      <c r="EU72" s="89">
        <f t="shared" si="85"/>
        <v>4.4689433129433409E-2</v>
      </c>
      <c r="EV72" s="350">
        <v>38869</v>
      </c>
      <c r="EW72" s="352">
        <f t="shared" si="84"/>
        <v>22.315461279893807</v>
      </c>
      <c r="EX72" s="352">
        <f t="shared" si="84"/>
        <v>21.560726536614165</v>
      </c>
      <c r="EY72" s="89">
        <f t="shared" si="77"/>
        <v>5.7535066313783467E-2</v>
      </c>
      <c r="EZ72" s="89">
        <f t="shared" si="77"/>
        <v>4.8993825313149886E-2</v>
      </c>
    </row>
    <row r="73" spans="2:156" ht="15" customHeight="1">
      <c r="B73" s="282"/>
      <c r="C73" s="282"/>
      <c r="F73" s="282"/>
      <c r="G73" s="282"/>
      <c r="H73" s="282"/>
      <c r="I73" s="282"/>
      <c r="J73" s="255"/>
      <c r="K73" s="255"/>
      <c r="L73" s="255"/>
      <c r="N73" s="282"/>
      <c r="O73" s="282"/>
      <c r="V73" s="282"/>
      <c r="W73" s="282"/>
      <c r="X73" s="255"/>
      <c r="Y73" s="255"/>
      <c r="Z73" s="255"/>
      <c r="AA73" s="255"/>
      <c r="AB73" s="255"/>
      <c r="AC73" s="397"/>
      <c r="AD73" s="255"/>
      <c r="AE73" s="255"/>
      <c r="AF73" s="255"/>
      <c r="AG73" s="255"/>
      <c r="AH73" s="255"/>
      <c r="AI73" s="255"/>
      <c r="AJ73" s="397"/>
      <c r="AK73" s="255"/>
      <c r="AL73" s="255"/>
      <c r="AM73" s="255"/>
      <c r="AO73" s="397"/>
      <c r="AP73" s="255"/>
      <c r="AQ73" s="255"/>
      <c r="AR73" s="255"/>
      <c r="AT73" s="282"/>
      <c r="AU73" s="282"/>
      <c r="AX73" s="282"/>
      <c r="AY73" s="282"/>
      <c r="BC73" s="282"/>
      <c r="BD73" s="282"/>
      <c r="BE73" s="282"/>
      <c r="BF73" s="282"/>
      <c r="BJ73" s="380"/>
      <c r="BV73" s="282"/>
      <c r="BW73" s="282"/>
      <c r="BX73" s="282"/>
      <c r="BY73" s="282"/>
      <c r="BZ73" s="255"/>
      <c r="CA73" s="255"/>
      <c r="CB73" s="255"/>
      <c r="CD73" s="282"/>
      <c r="CE73" s="282"/>
      <c r="CF73" s="282"/>
      <c r="CG73" s="255"/>
      <c r="CH73" s="255"/>
      <c r="CI73" s="255"/>
      <c r="CJ73" s="255"/>
      <c r="CL73" s="282"/>
      <c r="CM73" s="282"/>
      <c r="CN73" s="282"/>
      <c r="CO73" s="282"/>
      <c r="CP73" s="282"/>
      <c r="CQ73" s="255"/>
      <c r="CR73" s="255"/>
      <c r="CS73" s="255"/>
      <c r="CT73" s="255"/>
      <c r="CU73" s="255"/>
      <c r="CV73" s="255"/>
      <c r="CW73" s="248" t="s">
        <v>396</v>
      </c>
      <c r="CX73">
        <v>1012</v>
      </c>
      <c r="CY73">
        <v>1012</v>
      </c>
      <c r="CZ73" t="s">
        <v>634</v>
      </c>
      <c r="DB73" s="350">
        <v>43344</v>
      </c>
      <c r="DC73" s="88">
        <f t="shared" si="81"/>
        <v>1586.0830000000001</v>
      </c>
      <c r="DD73" s="88">
        <f t="shared" si="82"/>
        <v>1460.4559999999999</v>
      </c>
      <c r="DE73" s="89">
        <f t="shared" si="78"/>
        <v>2.517361111111116E-2</v>
      </c>
      <c r="DF73" s="89">
        <f t="shared" si="78"/>
        <v>1.8213356461404873E-2</v>
      </c>
      <c r="DG73" s="89">
        <f t="shared" si="79"/>
        <v>1.9660411081322549E-2</v>
      </c>
      <c r="DH73" s="248" t="s">
        <v>699</v>
      </c>
      <c r="DI73">
        <v>27.42</v>
      </c>
      <c r="DJ73">
        <v>20.52</v>
      </c>
      <c r="DK73">
        <v>21.95</v>
      </c>
      <c r="DM73" s="353">
        <v>38869</v>
      </c>
      <c r="DN73">
        <v>22.5</v>
      </c>
      <c r="DO73">
        <v>21.95</v>
      </c>
      <c r="DP73" s="365">
        <f t="shared" si="80"/>
        <v>4.0703052728954692E-2</v>
      </c>
      <c r="DQ73" s="365">
        <f t="shared" si="80"/>
        <v>4.474059971442168E-2</v>
      </c>
      <c r="DR73" s="365">
        <f>GEOMEAN(DN70:DN73)/GEOMEAN(DN66:DN69)-1</f>
        <v>5.7766115589586997E-2</v>
      </c>
      <c r="DS73" s="365">
        <f>GEOMEAN(DO70:DO73)/GEOMEAN(DO66:DO69)-1</f>
        <v>4.8783845629521094E-2</v>
      </c>
      <c r="DT73" s="255"/>
      <c r="DU73" s="367">
        <v>41334</v>
      </c>
      <c r="DV73" s="368">
        <v>115</v>
      </c>
      <c r="DW73" s="368">
        <v>114.7</v>
      </c>
      <c r="DX73" s="369">
        <v>115.3</v>
      </c>
      <c r="DY73" s="367">
        <v>23437</v>
      </c>
      <c r="DZ73" s="368">
        <v>8</v>
      </c>
      <c r="EJ73" s="248" t="s">
        <v>701</v>
      </c>
      <c r="EK73" s="95">
        <v>110494700</v>
      </c>
      <c r="EL73" s="95">
        <v>1101352000</v>
      </c>
      <c r="EN73" s="248" t="s">
        <v>701</v>
      </c>
      <c r="EO73" s="95">
        <v>4744100</v>
      </c>
      <c r="EP73" s="95">
        <v>49397100</v>
      </c>
      <c r="ER73" s="352">
        <f t="shared" si="83"/>
        <v>23.290971944098985</v>
      </c>
      <c r="ES73" s="352">
        <f t="shared" si="83"/>
        <v>22.295883766455926</v>
      </c>
      <c r="ET73" s="89">
        <f t="shared" si="85"/>
        <v>6.388378908097514E-2</v>
      </c>
      <c r="EU73" s="89">
        <f t="shared" si="85"/>
        <v>5.1273006932551768E-2</v>
      </c>
      <c r="EV73" s="350">
        <v>38961</v>
      </c>
      <c r="EW73" s="352">
        <f t="shared" si="84"/>
        <v>22.665998009992602</v>
      </c>
      <c r="EX73" s="352">
        <f t="shared" si="84"/>
        <v>21.830283115840881</v>
      </c>
      <c r="EY73" s="89">
        <f t="shared" si="77"/>
        <v>5.9604317232333504E-2</v>
      </c>
      <c r="EZ73" s="89">
        <f t="shared" si="77"/>
        <v>5.109900832689851E-2</v>
      </c>
    </row>
    <row r="74" spans="2:156" ht="15" customHeight="1">
      <c r="B74" s="278" t="s">
        <v>424</v>
      </c>
      <c r="C74" s="278"/>
      <c r="F74" s="278" t="s">
        <v>424</v>
      </c>
      <c r="G74" s="278"/>
      <c r="H74" s="278"/>
      <c r="I74" s="278"/>
      <c r="J74" s="371"/>
      <c r="K74" s="371"/>
      <c r="L74" s="371"/>
      <c r="N74" s="278" t="s">
        <v>424</v>
      </c>
      <c r="O74" s="278"/>
      <c r="V74" s="278" t="s">
        <v>424</v>
      </c>
      <c r="W74" s="278"/>
      <c r="X74" s="371"/>
      <c r="Y74" s="371"/>
      <c r="Z74" s="371"/>
      <c r="AA74" s="371"/>
      <c r="AB74" s="371"/>
      <c r="AC74" s="401" t="s">
        <v>424</v>
      </c>
      <c r="AD74" s="371"/>
      <c r="AE74" s="371"/>
      <c r="AF74" s="371"/>
      <c r="AG74" s="371"/>
      <c r="AH74" s="371"/>
      <c r="AI74" s="371"/>
      <c r="AJ74" s="401" t="s">
        <v>424</v>
      </c>
      <c r="AK74" s="371"/>
      <c r="AL74" s="371"/>
      <c r="AM74" s="371"/>
      <c r="AO74" s="401" t="s">
        <v>424</v>
      </c>
      <c r="AP74" s="371"/>
      <c r="AQ74" s="371"/>
      <c r="AR74" s="371"/>
      <c r="AT74" s="278" t="s">
        <v>424</v>
      </c>
      <c r="AU74" s="278"/>
      <c r="AX74" s="278" t="s">
        <v>424</v>
      </c>
      <c r="AY74" s="278"/>
      <c r="BC74" s="278" t="s">
        <v>424</v>
      </c>
      <c r="BD74" s="278"/>
      <c r="BE74" s="278"/>
      <c r="BF74" s="278"/>
      <c r="BJ74" s="402"/>
      <c r="BV74" s="278" t="s">
        <v>424</v>
      </c>
      <c r="BW74" s="278"/>
      <c r="BX74" s="278"/>
      <c r="BY74" s="278"/>
      <c r="BZ74" s="371"/>
      <c r="CA74" s="371"/>
      <c r="CB74" s="371"/>
      <c r="CD74" s="278" t="s">
        <v>424</v>
      </c>
      <c r="CE74" s="278"/>
      <c r="CF74" s="278"/>
      <c r="CG74" s="371"/>
      <c r="CH74" s="371"/>
      <c r="CI74" s="371"/>
      <c r="CJ74" s="371"/>
      <c r="CL74" s="278" t="s">
        <v>424</v>
      </c>
      <c r="CM74" s="278"/>
      <c r="CN74" s="278"/>
      <c r="CO74" s="278" t="s">
        <v>424</v>
      </c>
      <c r="CP74" s="278"/>
      <c r="CQ74" s="255"/>
      <c r="CR74" s="255"/>
      <c r="CS74" s="255"/>
      <c r="CT74" s="255"/>
      <c r="CU74" s="255"/>
      <c r="CV74" s="255"/>
      <c r="CW74" s="248" t="s">
        <v>400</v>
      </c>
      <c r="CX74">
        <v>1016</v>
      </c>
      <c r="CY74">
        <v>1016</v>
      </c>
      <c r="CZ74">
        <v>1013</v>
      </c>
      <c r="DB74" s="350">
        <v>43435</v>
      </c>
      <c r="DC74" s="88">
        <f t="shared" si="81"/>
        <v>1600.856</v>
      </c>
      <c r="DD74" s="88">
        <f t="shared" si="82"/>
        <v>1467.92</v>
      </c>
      <c r="DE74" s="89">
        <f t="shared" si="78"/>
        <v>2.7586206896551557E-2</v>
      </c>
      <c r="DF74" s="89">
        <f t="shared" si="78"/>
        <v>1.8998272884283463E-2</v>
      </c>
      <c r="DG74" s="89">
        <f t="shared" si="79"/>
        <v>2.7555555555555555E-2</v>
      </c>
      <c r="DH74" s="248" t="s">
        <v>701</v>
      </c>
      <c r="DI74">
        <v>27.52</v>
      </c>
      <c r="DJ74">
        <v>20.91</v>
      </c>
      <c r="DK74">
        <v>22.3</v>
      </c>
      <c r="DM74" s="353">
        <v>38961</v>
      </c>
      <c r="DN74">
        <v>23.29</v>
      </c>
      <c r="DO74">
        <v>22.3</v>
      </c>
      <c r="DP74" s="365">
        <f t="shared" si="80"/>
        <v>6.3956144358154443E-2</v>
      </c>
      <c r="DQ74" s="365">
        <f t="shared" si="80"/>
        <v>5.1390853371051426E-2</v>
      </c>
      <c r="DR74" s="365">
        <f>GEOMEAN(DN71:DN74)/GEOMEAN(DN67:DN70)-1</f>
        <v>5.9763524399984336E-2</v>
      </c>
      <c r="DS74" s="365">
        <f>GEOMEAN(DO71:DO74)/GEOMEAN(DO67:DO70)-1</f>
        <v>5.0944079584811064E-2</v>
      </c>
      <c r="DT74" s="255"/>
      <c r="DU74" s="367">
        <v>41426</v>
      </c>
      <c r="DV74" s="368">
        <v>115.4</v>
      </c>
      <c r="DW74" s="368">
        <v>115.1</v>
      </c>
      <c r="DX74" s="369">
        <v>115.8</v>
      </c>
      <c r="DY74" s="367">
        <v>23529</v>
      </c>
      <c r="DZ74" s="368">
        <v>8</v>
      </c>
      <c r="EJ74" s="248" t="s">
        <v>703</v>
      </c>
      <c r="EK74" s="95">
        <v>113209900</v>
      </c>
      <c r="EL74" s="95">
        <v>1138738000</v>
      </c>
      <c r="EN74" s="248" t="s">
        <v>703</v>
      </c>
      <c r="EO74" s="95">
        <v>4848500</v>
      </c>
      <c r="EP74" s="95">
        <v>50686300</v>
      </c>
      <c r="ER74" s="352">
        <f t="shared" si="83"/>
        <v>23.349468907909664</v>
      </c>
      <c r="ES74" s="352">
        <f t="shared" si="83"/>
        <v>22.466386380540698</v>
      </c>
      <c r="ET74" s="89">
        <f t="shared" si="85"/>
        <v>5.0791454739124386E-2</v>
      </c>
      <c r="EU74" s="89">
        <f t="shared" si="85"/>
        <v>5.0229894395172003E-2</v>
      </c>
      <c r="EV74" s="350">
        <v>39052</v>
      </c>
      <c r="EW74" s="352">
        <f t="shared" si="84"/>
        <v>22.950267768664741</v>
      </c>
      <c r="EX74" s="352">
        <f t="shared" si="84"/>
        <v>22.100094486956888</v>
      </c>
      <c r="EY74" s="89">
        <f t="shared" si="77"/>
        <v>5.6073603733952648E-2</v>
      </c>
      <c r="EZ74" s="89">
        <f t="shared" si="77"/>
        <v>4.9904575891289715E-2</v>
      </c>
    </row>
    <row r="75" spans="2:156" ht="15" customHeight="1">
      <c r="B75" s="282" t="s">
        <v>734</v>
      </c>
      <c r="C75" s="282"/>
      <c r="F75" s="282"/>
      <c r="G75" s="282"/>
      <c r="H75" s="282"/>
      <c r="I75" s="282"/>
      <c r="J75" s="255"/>
      <c r="K75" s="255"/>
      <c r="L75" s="255"/>
      <c r="N75" s="282" t="s">
        <v>735</v>
      </c>
      <c r="O75" s="282"/>
      <c r="V75" s="282" t="s">
        <v>736</v>
      </c>
      <c r="W75" s="282"/>
      <c r="X75" s="255"/>
      <c r="Y75" s="255"/>
      <c r="Z75" s="255"/>
      <c r="AA75" s="255"/>
      <c r="AB75" s="255"/>
      <c r="AC75" s="397"/>
      <c r="AD75" s="255"/>
      <c r="AE75" s="255"/>
      <c r="AF75" s="255"/>
      <c r="AG75" s="255"/>
      <c r="AH75" s="255"/>
      <c r="AI75" s="255"/>
      <c r="AJ75" s="397"/>
      <c r="AK75" s="255"/>
      <c r="AL75" s="255"/>
      <c r="AM75" s="255"/>
      <c r="AO75" s="397"/>
      <c r="AP75" s="255"/>
      <c r="AQ75" s="255"/>
      <c r="AR75" s="255"/>
      <c r="AS75" s="255"/>
      <c r="AT75" s="282"/>
      <c r="AU75" s="282"/>
      <c r="AX75" s="282"/>
      <c r="AY75" s="282"/>
      <c r="BC75" s="282" t="s">
        <v>737</v>
      </c>
      <c r="BD75" s="282"/>
      <c r="BE75" s="282"/>
      <c r="BF75" s="282"/>
      <c r="BJ75" s="380"/>
      <c r="BV75" s="282" t="s">
        <v>737</v>
      </c>
      <c r="BW75" s="282"/>
      <c r="BX75" s="282"/>
      <c r="BY75" s="282"/>
      <c r="BZ75" s="255"/>
      <c r="CA75" s="255"/>
      <c r="CB75" s="255"/>
      <c r="CD75" s="282" t="s">
        <v>737</v>
      </c>
      <c r="CE75" s="282"/>
      <c r="CF75" s="282"/>
      <c r="CG75" s="255"/>
      <c r="CH75" s="255"/>
      <c r="CI75" s="255"/>
      <c r="CJ75" s="255"/>
      <c r="CL75" s="282" t="s">
        <v>737</v>
      </c>
      <c r="CM75" s="282"/>
      <c r="CN75" s="282"/>
      <c r="CO75" s="282" t="s">
        <v>737</v>
      </c>
      <c r="CP75" s="282"/>
      <c r="CW75" s="248" t="s">
        <v>406</v>
      </c>
      <c r="CX75">
        <v>1021</v>
      </c>
      <c r="CY75">
        <v>1021</v>
      </c>
      <c r="CZ75" t="s">
        <v>634</v>
      </c>
      <c r="DB75" s="350">
        <v>43525</v>
      </c>
      <c r="DC75" s="88">
        <f t="shared" si="81"/>
        <v>1612.943</v>
      </c>
      <c r="DD75" s="88">
        <f t="shared" si="82"/>
        <v>1474.14</v>
      </c>
      <c r="DE75" s="89">
        <f t="shared" si="78"/>
        <v>3.2674118658641449E-2</v>
      </c>
      <c r="DF75" s="89">
        <f t="shared" si="78"/>
        <v>1.9793459552495785E-2</v>
      </c>
      <c r="DG75" s="89">
        <f t="shared" si="79"/>
        <v>3.5492457852706272E-2</v>
      </c>
      <c r="DH75" s="248" t="s">
        <v>703</v>
      </c>
      <c r="DI75">
        <v>28.04</v>
      </c>
      <c r="DJ75">
        <v>21.03</v>
      </c>
      <c r="DK75">
        <v>22.47</v>
      </c>
      <c r="DM75" s="353">
        <v>39052</v>
      </c>
      <c r="DN75">
        <v>23.35</v>
      </c>
      <c r="DO75">
        <v>22.47</v>
      </c>
      <c r="DP75" s="365">
        <f t="shared" si="80"/>
        <v>5.0855085508551001E-2</v>
      </c>
      <c r="DQ75" s="365">
        <f t="shared" si="80"/>
        <v>5.0490883590462721E-2</v>
      </c>
      <c r="DR75" s="365">
        <f t="shared" ref="DR75:DS90" si="86">GEOMEAN(DN72:DN75)/GEOMEAN(DN68:DN71)-1</f>
        <v>5.6178293277137303E-2</v>
      </c>
      <c r="DS75" s="365">
        <f t="shared" si="86"/>
        <v>4.9885581568595017E-2</v>
      </c>
      <c r="DU75" s="367">
        <v>41518</v>
      </c>
      <c r="DV75" s="368">
        <v>116.7</v>
      </c>
      <c r="DW75" s="368">
        <v>116.9</v>
      </c>
      <c r="DX75" s="369">
        <v>116.4</v>
      </c>
      <c r="DY75" s="367">
        <v>23621</v>
      </c>
      <c r="DZ75" s="368">
        <v>8.1</v>
      </c>
      <c r="EJ75" s="248" t="s">
        <v>300</v>
      </c>
      <c r="EK75" s="95">
        <v>116668500</v>
      </c>
      <c r="EL75" s="95">
        <v>1142860800</v>
      </c>
      <c r="EN75" s="248" t="s">
        <v>300</v>
      </c>
      <c r="EO75" s="95">
        <v>4890000</v>
      </c>
      <c r="EP75" s="95">
        <v>50346200</v>
      </c>
      <c r="ER75" s="352">
        <f t="shared" si="83"/>
        <v>23.858588957055215</v>
      </c>
      <c r="ES75" s="352">
        <f t="shared" si="83"/>
        <v>22.700040916692817</v>
      </c>
      <c r="ET75" s="89">
        <f t="shared" si="85"/>
        <v>5.3843798887464933E-2</v>
      </c>
      <c r="EU75" s="89">
        <f t="shared" si="85"/>
        <v>4.7002771583801506E-2</v>
      </c>
      <c r="EV75" s="350">
        <v>39142</v>
      </c>
      <c r="EW75" s="352">
        <f t="shared" si="84"/>
        <v>23.256207804096579</v>
      </c>
      <c r="EX75" s="352">
        <f t="shared" si="84"/>
        <v>22.355160634379835</v>
      </c>
      <c r="EY75" s="89">
        <f t="shared" ref="EY75:EZ90" si="87">EW75/EW71-1</f>
        <v>5.2548904617858883E-2</v>
      </c>
      <c r="EZ75" s="89">
        <f t="shared" si="87"/>
        <v>4.8265770609111414E-2</v>
      </c>
    </row>
    <row r="76" spans="2:156" ht="15" customHeight="1">
      <c r="B76" s="282"/>
      <c r="C76" s="282"/>
      <c r="F76" s="282" t="s">
        <v>438</v>
      </c>
      <c r="G76" s="282"/>
      <c r="H76" s="282"/>
      <c r="I76" s="282"/>
      <c r="J76" s="255"/>
      <c r="K76" s="255"/>
      <c r="L76" s="255"/>
      <c r="N76" s="282" t="s">
        <v>738</v>
      </c>
      <c r="O76" s="282"/>
      <c r="V76" s="282" t="s">
        <v>739</v>
      </c>
      <c r="W76" s="282"/>
      <c r="X76" s="255"/>
      <c r="Y76" s="255"/>
      <c r="Z76" s="255"/>
      <c r="AA76" s="255"/>
      <c r="AB76" s="255"/>
      <c r="AC76" s="397" t="s">
        <v>438</v>
      </c>
      <c r="AD76" s="255"/>
      <c r="AE76" s="255"/>
      <c r="AF76" s="255"/>
      <c r="AG76" s="255"/>
      <c r="AH76" s="255"/>
      <c r="AI76" s="255"/>
      <c r="AJ76" s="397" t="s">
        <v>438</v>
      </c>
      <c r="AK76" s="255"/>
      <c r="AL76" s="255"/>
      <c r="AM76" s="255"/>
      <c r="AO76" s="397" t="s">
        <v>438</v>
      </c>
      <c r="AP76" s="255"/>
      <c r="AQ76" s="255"/>
      <c r="AR76" s="255"/>
      <c r="AT76" s="282" t="s">
        <v>438</v>
      </c>
      <c r="AU76" s="282"/>
      <c r="AX76" s="282" t="s">
        <v>438</v>
      </c>
      <c r="AY76" s="282"/>
      <c r="BC76" s="282" t="s">
        <v>740</v>
      </c>
      <c r="BD76" s="282"/>
      <c r="BE76" s="282"/>
      <c r="BF76" s="282"/>
      <c r="BJ76" s="380"/>
      <c r="BV76" s="282"/>
      <c r="BW76" s="282"/>
      <c r="BX76" s="282"/>
      <c r="BY76" s="282"/>
      <c r="BZ76" s="255"/>
      <c r="CA76" s="255"/>
      <c r="CB76" s="255"/>
      <c r="CD76" s="282"/>
      <c r="CE76" s="282"/>
      <c r="CF76" s="282"/>
      <c r="CG76" s="255"/>
      <c r="CH76" s="255"/>
      <c r="CI76" s="255"/>
      <c r="CJ76" s="255"/>
      <c r="CL76" s="282" t="s">
        <v>740</v>
      </c>
      <c r="CM76" s="282"/>
      <c r="CN76" s="282"/>
      <c r="CO76" s="282"/>
      <c r="CP76" s="282"/>
      <c r="CW76" s="248" t="s">
        <v>412</v>
      </c>
      <c r="CX76">
        <v>1026</v>
      </c>
      <c r="CY76">
        <v>1026</v>
      </c>
      <c r="CZ76" t="s">
        <v>634</v>
      </c>
      <c r="DB76" s="350">
        <v>43617</v>
      </c>
      <c r="DC76" s="386">
        <f t="shared" si="81"/>
        <v>1624.2336009999997</v>
      </c>
      <c r="DD76" s="386">
        <f t="shared" si="82"/>
        <v>1484.4589799999997</v>
      </c>
      <c r="DE76" s="56">
        <f t="shared" ref="DE76:DF81" si="88">DC76/DC72-1</f>
        <v>3.8117596566523471E-2</v>
      </c>
      <c r="DF76" s="56">
        <f t="shared" si="88"/>
        <v>2.1656678082191627E-2</v>
      </c>
      <c r="DG76" s="56">
        <f t="shared" si="79"/>
        <v>4.0893711248892739E-2</v>
      </c>
      <c r="DH76" s="248" t="s">
        <v>300</v>
      </c>
      <c r="DI76">
        <v>28.9</v>
      </c>
      <c r="DJ76">
        <v>21.18</v>
      </c>
      <c r="DK76">
        <v>22.7</v>
      </c>
      <c r="DM76" s="353">
        <v>39142</v>
      </c>
      <c r="DN76">
        <v>23.86</v>
      </c>
      <c r="DO76">
        <v>22.7</v>
      </c>
      <c r="DP76" s="365">
        <f t="shared" si="80"/>
        <v>5.3886925795052942E-2</v>
      </c>
      <c r="DQ76" s="365">
        <f t="shared" si="80"/>
        <v>4.7047970479704881E-2</v>
      </c>
      <c r="DR76" s="365">
        <f t="shared" si="86"/>
        <v>5.2317640258017217E-2</v>
      </c>
      <c r="DS76" s="365">
        <f t="shared" si="86"/>
        <v>4.8414173337856914E-2</v>
      </c>
      <c r="DU76" s="367">
        <v>41609</v>
      </c>
      <c r="DV76" s="368">
        <v>117.6</v>
      </c>
      <c r="DW76" s="368">
        <v>117.5</v>
      </c>
      <c r="DX76" s="369">
        <v>117.7</v>
      </c>
      <c r="DY76" s="367">
        <v>23712</v>
      </c>
      <c r="DZ76" s="368">
        <v>8.1999999999999993</v>
      </c>
      <c r="EJ76" s="248" t="s">
        <v>352</v>
      </c>
      <c r="EK76" s="95">
        <v>116171600</v>
      </c>
      <c r="EL76" s="95">
        <v>1158245300</v>
      </c>
      <c r="EN76" s="248" t="s">
        <v>352</v>
      </c>
      <c r="EO76" s="95">
        <v>4828700</v>
      </c>
      <c r="EP76" s="95">
        <v>50606600</v>
      </c>
      <c r="ER76" s="352">
        <f t="shared" si="83"/>
        <v>24.058566487874582</v>
      </c>
      <c r="ES76" s="352">
        <f t="shared" si="83"/>
        <v>22.887238028241377</v>
      </c>
      <c r="ET76" s="89">
        <f t="shared" si="85"/>
        <v>6.9028213351932433E-2</v>
      </c>
      <c r="EU76" s="89">
        <f t="shared" si="85"/>
        <v>4.2666169864922887E-2</v>
      </c>
      <c r="EV76" s="350">
        <v>39234</v>
      </c>
      <c r="EW76" s="352">
        <f t="shared" si="84"/>
        <v>23.641323991652555</v>
      </c>
      <c r="EX76" s="352">
        <f t="shared" si="84"/>
        <v>22.588947164739483</v>
      </c>
      <c r="EY76" s="89">
        <f t="shared" si="87"/>
        <v>5.941453305082911E-2</v>
      </c>
      <c r="EZ76" s="89">
        <f t="shared" si="87"/>
        <v>4.7689516695052392E-2</v>
      </c>
    </row>
    <row r="77" spans="2:156" ht="15" customHeight="1">
      <c r="B77" s="282" t="s">
        <v>438</v>
      </c>
      <c r="C77" s="282"/>
      <c r="F77" s="282" t="s">
        <v>443</v>
      </c>
      <c r="G77" s="282"/>
      <c r="H77" s="282"/>
      <c r="I77" s="282"/>
      <c r="J77" s="255"/>
      <c r="K77" s="255"/>
      <c r="L77" s="255"/>
      <c r="N77" s="282" t="s">
        <v>736</v>
      </c>
      <c r="O77" s="282"/>
      <c r="V77" s="282" t="s">
        <v>741</v>
      </c>
      <c r="W77" s="282"/>
      <c r="X77" s="255"/>
      <c r="Y77" s="255"/>
      <c r="Z77" s="255"/>
      <c r="AA77" s="255"/>
      <c r="AB77" s="255"/>
      <c r="AC77" s="397" t="s">
        <v>443</v>
      </c>
      <c r="AD77" s="255"/>
      <c r="AE77" s="255"/>
      <c r="AF77" s="255"/>
      <c r="AG77" s="255"/>
      <c r="AH77" s="255"/>
      <c r="AI77" s="255"/>
      <c r="AJ77" s="397" t="s">
        <v>443</v>
      </c>
      <c r="AK77" s="255"/>
      <c r="AL77" s="255"/>
      <c r="AM77" s="255"/>
      <c r="AO77" s="397" t="s">
        <v>443</v>
      </c>
      <c r="AP77" s="255"/>
      <c r="AQ77" s="255"/>
      <c r="AR77" s="255"/>
      <c r="AT77" s="282" t="s">
        <v>443</v>
      </c>
      <c r="AU77" s="282"/>
      <c r="AX77" s="282" t="s">
        <v>443</v>
      </c>
      <c r="AY77" s="282"/>
      <c r="BC77" s="282" t="s">
        <v>742</v>
      </c>
      <c r="BD77" s="282"/>
      <c r="BE77" s="282"/>
      <c r="BF77" s="282"/>
      <c r="BJ77" s="380"/>
      <c r="BV77" s="282" t="s">
        <v>438</v>
      </c>
      <c r="BW77" s="282"/>
      <c r="BX77" s="282"/>
      <c r="BY77" s="282"/>
      <c r="BZ77" s="255"/>
      <c r="CA77" s="255"/>
      <c r="CB77" s="255"/>
      <c r="CD77" s="282" t="s">
        <v>438</v>
      </c>
      <c r="CE77" s="282"/>
      <c r="CF77" s="282"/>
      <c r="CG77" s="255"/>
      <c r="CH77" s="255"/>
      <c r="CI77" s="255"/>
      <c r="CJ77" s="255"/>
      <c r="CL77" s="282" t="s">
        <v>742</v>
      </c>
      <c r="CM77" s="282"/>
      <c r="CN77" s="282"/>
      <c r="CO77" s="282" t="s">
        <v>438</v>
      </c>
      <c r="CP77" s="282"/>
      <c r="CW77" s="248" t="s">
        <v>418</v>
      </c>
      <c r="CX77">
        <v>1030</v>
      </c>
      <c r="CY77">
        <v>1031</v>
      </c>
      <c r="CZ77" t="s">
        <v>634</v>
      </c>
      <c r="DB77" s="350">
        <v>43709</v>
      </c>
      <c r="DC77" s="386">
        <f t="shared" si="81"/>
        <v>1632.3547690049998</v>
      </c>
      <c r="DD77" s="386">
        <f t="shared" si="82"/>
        <v>1491.8812748999999</v>
      </c>
      <c r="DE77" s="56">
        <f t="shared" si="88"/>
        <v>2.9173611346316575E-2</v>
      </c>
      <c r="DF77" s="56">
        <f t="shared" si="88"/>
        <v>2.1517440374787089E-2</v>
      </c>
      <c r="DG77" s="56">
        <f t="shared" si="79"/>
        <v>3.509627081507416E-2</v>
      </c>
      <c r="DH77" s="248" t="s">
        <v>352</v>
      </c>
      <c r="DI77">
        <v>28.66</v>
      </c>
      <c r="DJ77">
        <v>21.39</v>
      </c>
      <c r="DK77">
        <v>22.89</v>
      </c>
      <c r="DM77" s="353">
        <v>39234</v>
      </c>
      <c r="DN77">
        <v>24.06</v>
      </c>
      <c r="DO77">
        <v>22.89</v>
      </c>
      <c r="DP77" s="365">
        <f t="shared" si="80"/>
        <v>6.9333333333333247E-2</v>
      </c>
      <c r="DQ77" s="365">
        <f t="shared" si="80"/>
        <v>4.2824601366742598E-2</v>
      </c>
      <c r="DR77" s="365">
        <f t="shared" si="86"/>
        <v>5.9481602480188078E-2</v>
      </c>
      <c r="DS77" s="365">
        <f t="shared" si="86"/>
        <v>4.793315853179303E-2</v>
      </c>
      <c r="DU77" s="367">
        <v>41699</v>
      </c>
      <c r="DV77" s="368">
        <v>118.3</v>
      </c>
      <c r="DW77" s="368">
        <v>118.2</v>
      </c>
      <c r="DX77" s="369">
        <v>118.4</v>
      </c>
      <c r="DY77" s="367">
        <v>23802</v>
      </c>
      <c r="DZ77" s="368">
        <v>8.1999999999999993</v>
      </c>
      <c r="EJ77" s="248" t="s">
        <v>356</v>
      </c>
      <c r="EK77" s="95">
        <v>119118400</v>
      </c>
      <c r="EL77" s="95">
        <v>1161910800</v>
      </c>
      <c r="EN77" s="248" t="s">
        <v>356</v>
      </c>
      <c r="EO77" s="95">
        <v>4890500</v>
      </c>
      <c r="EP77" s="95">
        <v>50112200</v>
      </c>
      <c r="ER77" s="352">
        <f t="shared" si="83"/>
        <v>24.357100500971271</v>
      </c>
      <c r="ES77" s="352">
        <f t="shared" si="83"/>
        <v>23.186186198171303</v>
      </c>
      <c r="ET77" s="89">
        <f t="shared" si="85"/>
        <v>4.5774326611663918E-2</v>
      </c>
      <c r="EU77" s="89">
        <f t="shared" si="85"/>
        <v>3.9931246549411714E-2</v>
      </c>
      <c r="EV77" s="350">
        <v>39326</v>
      </c>
      <c r="EW77" s="352">
        <f t="shared" si="84"/>
        <v>23.906648781716235</v>
      </c>
      <c r="EX77" s="352">
        <f t="shared" si="84"/>
        <v>22.809047079250544</v>
      </c>
      <c r="EY77" s="89">
        <f t="shared" si="87"/>
        <v>5.4736207564152872E-2</v>
      </c>
      <c r="EZ77" s="89">
        <f t="shared" si="87"/>
        <v>4.4835147497442884E-2</v>
      </c>
    </row>
    <row r="78" spans="2:156" ht="15" customHeight="1">
      <c r="B78" s="282" t="s">
        <v>443</v>
      </c>
      <c r="C78" s="282"/>
      <c r="F78" s="282" t="s">
        <v>447</v>
      </c>
      <c r="G78" s="282"/>
      <c r="H78" s="282"/>
      <c r="I78" s="282"/>
      <c r="J78" s="255"/>
      <c r="K78" s="255"/>
      <c r="L78" s="255"/>
      <c r="N78" s="282" t="s">
        <v>741</v>
      </c>
      <c r="O78" s="282"/>
      <c r="V78" s="282"/>
      <c r="W78" s="282"/>
      <c r="X78" s="255"/>
      <c r="Y78" s="255"/>
      <c r="Z78" s="255"/>
      <c r="AA78" s="255"/>
      <c r="AB78" s="255"/>
      <c r="AC78" s="397" t="s">
        <v>447</v>
      </c>
      <c r="AD78" s="255"/>
      <c r="AE78" s="255"/>
      <c r="AF78" s="255"/>
      <c r="AG78" s="255"/>
      <c r="AH78" s="255"/>
      <c r="AI78" s="255"/>
      <c r="AJ78" s="397" t="s">
        <v>447</v>
      </c>
      <c r="AK78" s="255"/>
      <c r="AL78" s="255"/>
      <c r="AM78" s="255"/>
      <c r="AO78" s="397" t="s">
        <v>447</v>
      </c>
      <c r="AP78" s="255"/>
      <c r="AQ78" s="255"/>
      <c r="AR78" s="255"/>
      <c r="AT78" s="282" t="s">
        <v>447</v>
      </c>
      <c r="AU78" s="282"/>
      <c r="AV78" s="255"/>
      <c r="AX78" s="282" t="s">
        <v>447</v>
      </c>
      <c r="AY78" s="282"/>
      <c r="BC78" s="282"/>
      <c r="BD78" s="282"/>
      <c r="BE78" s="282"/>
      <c r="BF78" s="282"/>
      <c r="BJ78" s="380"/>
      <c r="BV78" s="282" t="s">
        <v>443</v>
      </c>
      <c r="BW78" s="282"/>
      <c r="BX78" s="282"/>
      <c r="BY78" s="282"/>
      <c r="BZ78" s="255"/>
      <c r="CA78" s="255"/>
      <c r="CB78" s="255"/>
      <c r="CD78" s="282" t="s">
        <v>443</v>
      </c>
      <c r="CE78" s="282"/>
      <c r="CF78" s="282"/>
      <c r="CG78" s="255"/>
      <c r="CH78" s="255"/>
      <c r="CI78" s="255"/>
      <c r="CJ78" s="255"/>
      <c r="CL78" s="282"/>
      <c r="CM78" s="282"/>
      <c r="CN78" s="282"/>
      <c r="CO78" s="282" t="s">
        <v>443</v>
      </c>
      <c r="CP78" s="282"/>
      <c r="CW78" s="248" t="s">
        <v>423</v>
      </c>
      <c r="CX78">
        <v>1035</v>
      </c>
      <c r="CY78">
        <v>1035</v>
      </c>
      <c r="CZ78">
        <v>1037</v>
      </c>
      <c r="DB78" s="350">
        <v>43800</v>
      </c>
      <c r="DC78" s="386">
        <f t="shared" si="81"/>
        <v>1638.8841880810196</v>
      </c>
      <c r="DD78" s="386">
        <f t="shared" si="82"/>
        <v>1497.8487999995998</v>
      </c>
      <c r="DE78" s="56">
        <f t="shared" si="88"/>
        <v>2.3754908674496367E-2</v>
      </c>
      <c r="DF78" s="56">
        <f t="shared" si="88"/>
        <v>2.038857703389807E-2</v>
      </c>
      <c r="DG78" s="56">
        <f t="shared" si="79"/>
        <v>2.5751751193771266E-2</v>
      </c>
      <c r="DH78" s="248" t="s">
        <v>356</v>
      </c>
      <c r="DI78">
        <v>28.89</v>
      </c>
      <c r="DJ78">
        <v>21.68</v>
      </c>
      <c r="DK78">
        <v>23.19</v>
      </c>
      <c r="DM78" s="353">
        <v>39326</v>
      </c>
      <c r="DN78">
        <v>24.36</v>
      </c>
      <c r="DO78">
        <v>23.19</v>
      </c>
      <c r="DP78" s="365">
        <f t="shared" si="80"/>
        <v>4.5942464577071629E-2</v>
      </c>
      <c r="DQ78" s="365">
        <f t="shared" si="80"/>
        <v>3.9910313901345251E-2</v>
      </c>
      <c r="DR78" s="365">
        <f t="shared" si="86"/>
        <v>5.4968365193583724E-2</v>
      </c>
      <c r="DS78" s="365">
        <f t="shared" si="86"/>
        <v>4.5060673572120402E-2</v>
      </c>
      <c r="DU78" s="367">
        <v>41791</v>
      </c>
      <c r="DV78">
        <v>118.8</v>
      </c>
      <c r="DW78">
        <v>118.6</v>
      </c>
      <c r="DX78" s="369">
        <v>119.1</v>
      </c>
      <c r="DY78" s="367">
        <v>23894</v>
      </c>
      <c r="DZ78" s="368">
        <v>8.3000000000000007</v>
      </c>
      <c r="EJ78" s="248" t="s">
        <v>360</v>
      </c>
      <c r="EK78" s="95">
        <v>120987300</v>
      </c>
      <c r="EL78" s="95">
        <v>1210771400</v>
      </c>
      <c r="EN78" s="248" t="s">
        <v>360</v>
      </c>
      <c r="EO78" s="95">
        <v>4877800</v>
      </c>
      <c r="EP78" s="95">
        <v>51736000</v>
      </c>
      <c r="ER78" s="352">
        <f t="shared" si="83"/>
        <v>24.803661486735823</v>
      </c>
      <c r="ES78" s="352">
        <f t="shared" si="83"/>
        <v>23.402880006185249</v>
      </c>
      <c r="ET78" s="89">
        <f t="shared" si="85"/>
        <v>6.2279471304529377E-2</v>
      </c>
      <c r="EU78" s="89">
        <f t="shared" si="85"/>
        <v>4.1684212573487089E-2</v>
      </c>
      <c r="EV78" s="350">
        <v>39417</v>
      </c>
      <c r="EW78" s="352">
        <f t="shared" si="84"/>
        <v>24.269810642992763</v>
      </c>
      <c r="EX78" s="352">
        <f t="shared" si="84"/>
        <v>23.046179752565322</v>
      </c>
      <c r="EY78" s="89">
        <f t="shared" si="87"/>
        <v>5.7495750708828952E-2</v>
      </c>
      <c r="EZ78" s="89">
        <f t="shared" si="87"/>
        <v>4.2809105009338211E-2</v>
      </c>
    </row>
    <row r="79" spans="2:156" ht="15" customHeight="1">
      <c r="B79" s="282" t="s">
        <v>447</v>
      </c>
      <c r="C79" s="282"/>
      <c r="F79" s="282" t="s">
        <v>452</v>
      </c>
      <c r="G79" s="282"/>
      <c r="H79" s="282"/>
      <c r="I79" s="282"/>
      <c r="J79" s="255"/>
      <c r="K79" s="255"/>
      <c r="L79" s="255"/>
      <c r="N79" s="282"/>
      <c r="O79" s="282"/>
      <c r="V79" s="282" t="s">
        <v>438</v>
      </c>
      <c r="W79" s="282"/>
      <c r="X79" s="255"/>
      <c r="Y79" s="255"/>
      <c r="Z79" s="255"/>
      <c r="AA79" s="255"/>
      <c r="AB79" s="255"/>
      <c r="AC79" s="397" t="s">
        <v>452</v>
      </c>
      <c r="AD79" s="255"/>
      <c r="AE79" s="255"/>
      <c r="AF79" s="255"/>
      <c r="AG79" s="255"/>
      <c r="AH79" s="255"/>
      <c r="AI79" s="255"/>
      <c r="AJ79" s="397" t="s">
        <v>452</v>
      </c>
      <c r="AK79" s="255"/>
      <c r="AL79" s="255"/>
      <c r="AM79" s="255"/>
      <c r="AN79" s="397"/>
      <c r="AO79" s="397" t="s">
        <v>452</v>
      </c>
      <c r="AP79" s="255"/>
      <c r="AQ79" s="255"/>
      <c r="AR79" s="255"/>
      <c r="AT79" s="282" t="s">
        <v>452</v>
      </c>
      <c r="AU79" s="282"/>
      <c r="AX79" s="282" t="s">
        <v>452</v>
      </c>
      <c r="AY79" s="282"/>
      <c r="BC79" s="282" t="s">
        <v>438</v>
      </c>
      <c r="BD79" s="282"/>
      <c r="BE79" s="282"/>
      <c r="BF79" s="282"/>
      <c r="BJ79" s="380"/>
      <c r="BV79" s="282" t="s">
        <v>447</v>
      </c>
      <c r="BW79" s="282"/>
      <c r="BX79" s="282"/>
      <c r="BY79" s="282"/>
      <c r="BZ79" s="255"/>
      <c r="CA79" s="255"/>
      <c r="CB79" s="255"/>
      <c r="CD79" s="282" t="s">
        <v>447</v>
      </c>
      <c r="CE79" s="282"/>
      <c r="CF79" s="282"/>
      <c r="CG79" s="255"/>
      <c r="CH79" s="255"/>
      <c r="CI79" s="255"/>
      <c r="CJ79" s="255"/>
      <c r="CL79" s="282" t="s">
        <v>438</v>
      </c>
      <c r="CM79" s="282"/>
      <c r="CN79" s="282"/>
      <c r="CO79" s="282" t="s">
        <v>447</v>
      </c>
      <c r="CP79" s="282"/>
      <c r="CW79" s="248" t="s">
        <v>428</v>
      </c>
      <c r="CX79">
        <v>1041</v>
      </c>
      <c r="CY79">
        <v>1041</v>
      </c>
      <c r="CZ79" t="s">
        <v>634</v>
      </c>
      <c r="DB79" s="350">
        <v>43891</v>
      </c>
      <c r="DC79" s="386">
        <f t="shared" si="81"/>
        <v>1645.4397248333439</v>
      </c>
      <c r="DD79" s="386">
        <f t="shared" si="82"/>
        <v>1503.8401951995982</v>
      </c>
      <c r="DE79" s="56">
        <f t="shared" si="88"/>
        <v>2.0147472559999935E-2</v>
      </c>
      <c r="DF79" s="56">
        <f t="shared" si="88"/>
        <v>2.0147472559999713E-2</v>
      </c>
      <c r="DG79" s="56">
        <f t="shared" si="79"/>
        <v>2.0147472559999713E-2</v>
      </c>
      <c r="DH79" s="248" t="s">
        <v>360</v>
      </c>
      <c r="DI79">
        <v>29.43</v>
      </c>
      <c r="DJ79">
        <v>21.87</v>
      </c>
      <c r="DK79">
        <v>23.4</v>
      </c>
      <c r="DM79" s="353">
        <v>39417</v>
      </c>
      <c r="DN79">
        <v>24.8</v>
      </c>
      <c r="DO79">
        <v>23.4</v>
      </c>
      <c r="DP79" s="365">
        <f t="shared" si="80"/>
        <v>6.2098501070663836E-2</v>
      </c>
      <c r="DQ79" s="365">
        <f t="shared" si="80"/>
        <v>4.1388518024032095E-2</v>
      </c>
      <c r="DR79" s="365">
        <f t="shared" si="86"/>
        <v>5.7778969577783279E-2</v>
      </c>
      <c r="DS79" s="365">
        <f t="shared" si="86"/>
        <v>4.2789451875381079E-2</v>
      </c>
      <c r="DU79" s="367">
        <v>41883</v>
      </c>
      <c r="DV79">
        <v>120.1</v>
      </c>
      <c r="DW79">
        <v>120.1</v>
      </c>
      <c r="DX79" s="369">
        <v>120.2</v>
      </c>
      <c r="DY79" s="367">
        <v>23986</v>
      </c>
      <c r="DZ79" s="368">
        <v>8.4</v>
      </c>
      <c r="EJ79" s="248" t="s">
        <v>364</v>
      </c>
      <c r="EK79" s="95">
        <v>125989700</v>
      </c>
      <c r="EL79" s="95">
        <v>1221554000</v>
      </c>
      <c r="EN79" s="248" t="s">
        <v>364</v>
      </c>
      <c r="EO79" s="95">
        <v>4967700</v>
      </c>
      <c r="EP79" s="95">
        <v>51433100</v>
      </c>
      <c r="ER79" s="352">
        <f t="shared" si="83"/>
        <v>25.361777079936388</v>
      </c>
      <c r="ES79" s="352">
        <f t="shared" si="83"/>
        <v>23.750347538841719</v>
      </c>
      <c r="ET79" s="89">
        <f t="shared" si="85"/>
        <v>6.3004066400861758E-2</v>
      </c>
      <c r="EU79" s="89">
        <f t="shared" si="85"/>
        <v>4.626893079195038E-2</v>
      </c>
      <c r="EV79" s="350">
        <v>39508</v>
      </c>
      <c r="EW79" s="352">
        <f t="shared" si="84"/>
        <v>24.649854073918842</v>
      </c>
      <c r="EX79" s="352">
        <f t="shared" si="84"/>
        <v>23.30928662269806</v>
      </c>
      <c r="EY79" s="89">
        <f t="shared" si="87"/>
        <v>5.9925774724835845E-2</v>
      </c>
      <c r="EZ79" s="89">
        <f t="shared" si="87"/>
        <v>4.2680345890732774E-2</v>
      </c>
    </row>
    <row r="80" spans="2:156" ht="15" customHeight="1">
      <c r="B80" s="282" t="s">
        <v>452</v>
      </c>
      <c r="C80" s="282"/>
      <c r="F80" s="282" t="s">
        <v>456</v>
      </c>
      <c r="G80" s="282"/>
      <c r="H80" s="282"/>
      <c r="I80" s="282"/>
      <c r="J80" s="255"/>
      <c r="K80" s="255"/>
      <c r="L80" s="255"/>
      <c r="N80" s="282" t="s">
        <v>438</v>
      </c>
      <c r="O80" s="282"/>
      <c r="V80" s="282" t="s">
        <v>443</v>
      </c>
      <c r="W80" s="282"/>
      <c r="X80" s="255"/>
      <c r="Y80" s="255"/>
      <c r="Z80" s="255"/>
      <c r="AA80" s="255"/>
      <c r="AB80" s="255"/>
      <c r="AC80" s="397" t="s">
        <v>456</v>
      </c>
      <c r="AD80" s="255"/>
      <c r="AE80" s="255"/>
      <c r="AF80" s="255"/>
      <c r="AG80" s="255"/>
      <c r="AH80" s="255"/>
      <c r="AI80" s="255"/>
      <c r="AJ80" s="397" t="s">
        <v>456</v>
      </c>
      <c r="AK80" s="255"/>
      <c r="AL80" s="255"/>
      <c r="AM80" s="255"/>
      <c r="AN80" s="397"/>
      <c r="AO80" s="397" t="s">
        <v>456</v>
      </c>
      <c r="AP80" s="255"/>
      <c r="AQ80" s="255"/>
      <c r="AR80" s="255"/>
      <c r="AT80" s="282" t="s">
        <v>456</v>
      </c>
      <c r="AU80" s="282"/>
      <c r="AX80" s="282" t="s">
        <v>456</v>
      </c>
      <c r="AY80" s="282"/>
      <c r="BC80" s="282" t="s">
        <v>443</v>
      </c>
      <c r="BD80" s="282"/>
      <c r="BE80" s="282"/>
      <c r="BF80" s="282"/>
      <c r="BJ80" s="380"/>
      <c r="BV80" s="282" t="s">
        <v>452</v>
      </c>
      <c r="BW80" s="282"/>
      <c r="BX80" s="282"/>
      <c r="BY80" s="282"/>
      <c r="BZ80" s="255"/>
      <c r="CA80" s="255"/>
      <c r="CB80" s="255"/>
      <c r="CD80" s="282" t="s">
        <v>452</v>
      </c>
      <c r="CE80" s="282"/>
      <c r="CF80" s="282"/>
      <c r="CG80" s="255"/>
      <c r="CH80" s="255"/>
      <c r="CI80" s="255"/>
      <c r="CJ80" s="255"/>
      <c r="CL80" s="282" t="s">
        <v>443</v>
      </c>
      <c r="CM80" s="282"/>
      <c r="CN80" s="282"/>
      <c r="CO80" s="282" t="s">
        <v>452</v>
      </c>
      <c r="CP80" s="282"/>
      <c r="CW80" s="248" t="s">
        <v>433</v>
      </c>
      <c r="CX80">
        <v>1047</v>
      </c>
      <c r="CY80">
        <v>1047</v>
      </c>
      <c r="CZ80" t="s">
        <v>634</v>
      </c>
      <c r="DB80" s="350">
        <v>43983</v>
      </c>
      <c r="DC80" s="386">
        <f t="shared" si="81"/>
        <v>1658.6032426320105</v>
      </c>
      <c r="DD80" s="386">
        <f t="shared" si="82"/>
        <v>1515.8709167611951</v>
      </c>
      <c r="DE80" s="56">
        <f t="shared" si="88"/>
        <v>2.1160528640000065E-2</v>
      </c>
      <c r="DF80" s="56">
        <f t="shared" si="88"/>
        <v>2.1160528640000065E-2</v>
      </c>
      <c r="DG80" s="56">
        <f t="shared" si="79"/>
        <v>2.1160528639999843E-2</v>
      </c>
      <c r="DH80" s="248" t="s">
        <v>364</v>
      </c>
      <c r="DI80">
        <v>30.5</v>
      </c>
      <c r="DJ80">
        <v>22.1</v>
      </c>
      <c r="DK80">
        <v>23.75</v>
      </c>
      <c r="DM80" s="353">
        <v>39508</v>
      </c>
      <c r="DN80">
        <v>25.36</v>
      </c>
      <c r="DO80">
        <v>23.75</v>
      </c>
      <c r="DP80" s="365">
        <f t="shared" si="80"/>
        <v>6.2866722548197806E-2</v>
      </c>
      <c r="DQ80" s="365">
        <f t="shared" si="80"/>
        <v>4.6255506607929542E-2</v>
      </c>
      <c r="DR80" s="365">
        <f t="shared" si="86"/>
        <v>6.0025045377239516E-2</v>
      </c>
      <c r="DS80" s="365">
        <f t="shared" si="86"/>
        <v>4.2592085652630729E-2</v>
      </c>
      <c r="DU80" s="367">
        <v>41974</v>
      </c>
      <c r="DV80">
        <v>120.9</v>
      </c>
      <c r="DW80">
        <v>120.6</v>
      </c>
      <c r="DX80" s="369">
        <v>121.2</v>
      </c>
      <c r="DY80" s="367">
        <v>24077</v>
      </c>
      <c r="DZ80" s="368">
        <v>8.5</v>
      </c>
      <c r="EJ80" s="248" t="s">
        <v>368</v>
      </c>
      <c r="EK80" s="95">
        <v>129711200</v>
      </c>
      <c r="EL80" s="95">
        <v>1236620100</v>
      </c>
      <c r="EN80" s="248" t="s">
        <v>368</v>
      </c>
      <c r="EO80" s="95">
        <v>5066100</v>
      </c>
      <c r="EP80" s="95">
        <v>51305600</v>
      </c>
      <c r="ER80" s="352">
        <f t="shared" si="83"/>
        <v>25.603758315074714</v>
      </c>
      <c r="ES80" s="352">
        <f t="shared" si="83"/>
        <v>24.103023841452003</v>
      </c>
      <c r="ET80" s="89">
        <f t="shared" si="85"/>
        <v>6.4226263355254387E-2</v>
      </c>
      <c r="EU80" s="89">
        <f t="shared" si="85"/>
        <v>5.3120687245460818E-2</v>
      </c>
      <c r="EV80" s="350">
        <v>39600</v>
      </c>
      <c r="EW80" s="352">
        <f t="shared" si="84"/>
        <v>25.03808181960499</v>
      </c>
      <c r="EX80" s="352">
        <f t="shared" si="84"/>
        <v>23.612735224005057</v>
      </c>
      <c r="EY80" s="89">
        <f t="shared" si="87"/>
        <v>5.908120156238339E-2</v>
      </c>
      <c r="EZ80" s="89">
        <f t="shared" si="87"/>
        <v>4.5322522196327375E-2</v>
      </c>
    </row>
    <row r="81" spans="2:156" ht="15" customHeight="1">
      <c r="B81" s="282" t="s">
        <v>456</v>
      </c>
      <c r="C81" s="282"/>
      <c r="F81" s="282" t="s">
        <v>459</v>
      </c>
      <c r="G81" s="282"/>
      <c r="H81" s="282"/>
      <c r="I81" s="282"/>
      <c r="J81" s="255"/>
      <c r="K81" s="255"/>
      <c r="L81" s="255"/>
      <c r="N81" s="282" t="s">
        <v>443</v>
      </c>
      <c r="O81" s="282"/>
      <c r="V81" s="282" t="s">
        <v>447</v>
      </c>
      <c r="W81" s="282"/>
      <c r="X81" s="255"/>
      <c r="Y81" s="255"/>
      <c r="Z81" s="255"/>
      <c r="AA81" s="255"/>
      <c r="AB81" s="255"/>
      <c r="AC81" s="397" t="s">
        <v>459</v>
      </c>
      <c r="AD81" s="255"/>
      <c r="AE81" s="255"/>
      <c r="AF81" s="255"/>
      <c r="AG81" s="255"/>
      <c r="AH81" s="255"/>
      <c r="AI81" s="255"/>
      <c r="AJ81" s="397" t="s">
        <v>459</v>
      </c>
      <c r="AK81" s="255"/>
      <c r="AL81" s="255"/>
      <c r="AM81" s="255"/>
      <c r="AN81" s="397"/>
      <c r="AO81" s="397" t="s">
        <v>459</v>
      </c>
      <c r="AP81" s="255"/>
      <c r="AQ81" s="255"/>
      <c r="AR81" s="255"/>
      <c r="AT81" s="282" t="s">
        <v>459</v>
      </c>
      <c r="AU81" s="282"/>
      <c r="AX81" s="282" t="s">
        <v>459</v>
      </c>
      <c r="AY81" s="282"/>
      <c r="BC81" s="282" t="s">
        <v>447</v>
      </c>
      <c r="BD81" s="282"/>
      <c r="BE81" s="282"/>
      <c r="BF81" s="282"/>
      <c r="BJ81" s="380"/>
      <c r="BV81" s="282" t="s">
        <v>456</v>
      </c>
      <c r="BW81" s="282"/>
      <c r="BX81" s="282"/>
      <c r="BY81" s="282"/>
      <c r="BZ81" s="255"/>
      <c r="CA81" s="255"/>
      <c r="CB81" s="255"/>
      <c r="CD81" s="282" t="s">
        <v>456</v>
      </c>
      <c r="CE81" s="282"/>
      <c r="CF81" s="282"/>
      <c r="CG81" s="255"/>
      <c r="CH81" s="255"/>
      <c r="CI81" s="255"/>
      <c r="CJ81" s="255"/>
      <c r="CL81" s="282" t="s">
        <v>447</v>
      </c>
      <c r="CM81" s="282"/>
      <c r="CN81" s="282"/>
      <c r="CO81" s="282" t="s">
        <v>456</v>
      </c>
      <c r="CP81" s="282"/>
      <c r="CW81" s="248" t="s">
        <v>437</v>
      </c>
      <c r="CX81">
        <v>1051</v>
      </c>
      <c r="CY81">
        <v>1052</v>
      </c>
      <c r="CZ81" t="s">
        <v>634</v>
      </c>
      <c r="DH81" s="248" t="s">
        <v>368</v>
      </c>
      <c r="DI81">
        <v>30.04</v>
      </c>
      <c r="DJ81">
        <v>22.56</v>
      </c>
      <c r="DK81">
        <v>24.1</v>
      </c>
      <c r="DM81" s="353">
        <v>39600</v>
      </c>
      <c r="DN81">
        <v>25.6</v>
      </c>
      <c r="DO81">
        <v>24.1</v>
      </c>
      <c r="DP81" s="365">
        <f t="shared" si="80"/>
        <v>6.4006650041562807E-2</v>
      </c>
      <c r="DQ81" s="365">
        <f t="shared" si="80"/>
        <v>5.2861511577107834E-2</v>
      </c>
      <c r="DR81" s="365">
        <f t="shared" si="86"/>
        <v>5.8702493339611195E-2</v>
      </c>
      <c r="DS81" s="365">
        <f t="shared" si="86"/>
        <v>4.5091749757096622E-2</v>
      </c>
      <c r="DU81" s="367">
        <v>42064</v>
      </c>
      <c r="DV81">
        <v>121.4</v>
      </c>
      <c r="DW81">
        <v>121.3</v>
      </c>
      <c r="DX81" s="369">
        <v>121.5</v>
      </c>
      <c r="DY81" s="367">
        <v>24167</v>
      </c>
      <c r="DZ81" s="368">
        <v>8.6</v>
      </c>
      <c r="EJ81" s="248" t="s">
        <v>372</v>
      </c>
      <c r="EK81" s="95">
        <v>133403000</v>
      </c>
      <c r="EL81" s="95">
        <v>1235507400</v>
      </c>
      <c r="EN81" s="248" t="s">
        <v>372</v>
      </c>
      <c r="EO81" s="95">
        <v>5112600</v>
      </c>
      <c r="EP81" s="95">
        <v>50473700</v>
      </c>
      <c r="ER81" s="352">
        <f t="shared" si="83"/>
        <v>26.092985956264915</v>
      </c>
      <c r="ES81" s="352">
        <f t="shared" si="83"/>
        <v>24.478241143407359</v>
      </c>
      <c r="ET81" s="89">
        <f t="shared" si="85"/>
        <v>7.1268148490187588E-2</v>
      </c>
      <c r="EU81" s="89">
        <f t="shared" si="85"/>
        <v>5.5725203541148183E-2</v>
      </c>
      <c r="EV81" s="350">
        <v>39692</v>
      </c>
      <c r="EW81" s="352">
        <f t="shared" si="84"/>
        <v>25.473736778498019</v>
      </c>
      <c r="EX81" s="352">
        <f t="shared" si="84"/>
        <v>23.930183890188946</v>
      </c>
      <c r="EY81" s="89">
        <f t="shared" si="87"/>
        <v>6.5550299880604346E-2</v>
      </c>
      <c r="EZ81" s="89">
        <f t="shared" si="87"/>
        <v>4.9153163086690377E-2</v>
      </c>
    </row>
    <row r="82" spans="2:156" ht="15" customHeight="1">
      <c r="B82" s="282" t="s">
        <v>459</v>
      </c>
      <c r="C82" s="282"/>
      <c r="F82" s="282" t="s">
        <v>462</v>
      </c>
      <c r="G82" s="282"/>
      <c r="H82" s="282"/>
      <c r="I82" s="282"/>
      <c r="J82" s="255"/>
      <c r="K82" s="255"/>
      <c r="L82" s="255"/>
      <c r="N82" s="282" t="s">
        <v>447</v>
      </c>
      <c r="O82" s="282"/>
      <c r="V82" s="282" t="s">
        <v>452</v>
      </c>
      <c r="W82" s="282"/>
      <c r="X82" s="255"/>
      <c r="Y82" s="255"/>
      <c r="Z82" s="255"/>
      <c r="AA82" s="255"/>
      <c r="AB82" s="255"/>
      <c r="AC82" s="397" t="s">
        <v>462</v>
      </c>
      <c r="AD82" s="255"/>
      <c r="AE82" s="255"/>
      <c r="AF82" s="255"/>
      <c r="AG82" s="255"/>
      <c r="AH82" s="255"/>
      <c r="AI82" s="255"/>
      <c r="AJ82" s="397" t="s">
        <v>462</v>
      </c>
      <c r="AK82" s="255"/>
      <c r="AL82" s="255"/>
      <c r="AM82" s="255"/>
      <c r="AN82" s="397"/>
      <c r="AO82" s="397" t="s">
        <v>462</v>
      </c>
      <c r="AP82" s="255"/>
      <c r="AQ82" s="255"/>
      <c r="AR82" s="255"/>
      <c r="AT82" s="282" t="s">
        <v>462</v>
      </c>
      <c r="AU82" s="282"/>
      <c r="AX82" s="282" t="s">
        <v>462</v>
      </c>
      <c r="AY82" s="282"/>
      <c r="BC82" s="282" t="s">
        <v>452</v>
      </c>
      <c r="BD82" s="282"/>
      <c r="BE82" s="282"/>
      <c r="BF82" s="282"/>
      <c r="BJ82" s="380"/>
      <c r="BV82" s="282" t="s">
        <v>459</v>
      </c>
      <c r="BW82" s="282"/>
      <c r="BX82" s="282"/>
      <c r="BY82" s="282"/>
      <c r="BZ82" s="255"/>
      <c r="CA82" s="255"/>
      <c r="CB82" s="255"/>
      <c r="CD82" s="282" t="s">
        <v>459</v>
      </c>
      <c r="CE82" s="282"/>
      <c r="CF82" s="282"/>
      <c r="CG82" s="255"/>
      <c r="CH82" s="255"/>
      <c r="CI82" s="255"/>
      <c r="CJ82" s="255"/>
      <c r="CL82" s="282" t="s">
        <v>452</v>
      </c>
      <c r="CM82" s="282"/>
      <c r="CN82" s="282"/>
      <c r="CO82" s="282" t="s">
        <v>459</v>
      </c>
      <c r="CP82" s="282"/>
      <c r="CW82" s="248" t="s">
        <v>442</v>
      </c>
      <c r="CX82">
        <v>1056</v>
      </c>
      <c r="CY82">
        <v>1056</v>
      </c>
      <c r="CZ82">
        <v>1064</v>
      </c>
      <c r="DH82" s="248" t="s">
        <v>372</v>
      </c>
      <c r="DI82">
        <v>30.73</v>
      </c>
      <c r="DJ82">
        <v>22.8</v>
      </c>
      <c r="DK82">
        <v>24.48</v>
      </c>
      <c r="DM82" s="353">
        <v>39692</v>
      </c>
      <c r="DN82">
        <v>26.09</v>
      </c>
      <c r="DO82">
        <v>24.48</v>
      </c>
      <c r="DP82" s="365">
        <f t="shared" ref="DP82:DQ113" si="89">DN82/DN78-1</f>
        <v>7.101806239737285E-2</v>
      </c>
      <c r="DQ82" s="365">
        <f t="shared" si="89"/>
        <v>5.5627425614488857E-2</v>
      </c>
      <c r="DR82" s="365">
        <f t="shared" si="86"/>
        <v>6.4991608513503385E-2</v>
      </c>
      <c r="DS82" s="365">
        <f t="shared" si="86"/>
        <v>4.901841992298861E-2</v>
      </c>
      <c r="DU82" s="367">
        <v>42156</v>
      </c>
      <c r="DV82">
        <v>121.9</v>
      </c>
      <c r="DW82">
        <v>121.5</v>
      </c>
      <c r="DX82" s="369">
        <v>122.3</v>
      </c>
      <c r="DY82" s="367">
        <v>24259</v>
      </c>
      <c r="DZ82" s="368">
        <v>8.6</v>
      </c>
      <c r="EJ82" s="248" t="s">
        <v>376</v>
      </c>
      <c r="EK82" s="95">
        <v>135940300</v>
      </c>
      <c r="EL82" s="95">
        <v>1252534400</v>
      </c>
      <c r="EN82" s="248" t="s">
        <v>376</v>
      </c>
      <c r="EO82" s="95">
        <v>5127800</v>
      </c>
      <c r="EP82" s="95">
        <v>50686000</v>
      </c>
      <c r="ER82" s="352">
        <f t="shared" si="83"/>
        <v>26.510452825773235</v>
      </c>
      <c r="ES82" s="352">
        <f t="shared" si="83"/>
        <v>24.711644241013296</v>
      </c>
      <c r="ET82" s="89">
        <f t="shared" si="85"/>
        <v>6.8812071957607968E-2</v>
      </c>
      <c r="EU82" s="89">
        <f t="shared" si="85"/>
        <v>5.5923212633750552E-2</v>
      </c>
      <c r="EV82" s="350">
        <v>39783</v>
      </c>
      <c r="EW82" s="352">
        <f t="shared" si="84"/>
        <v>25.897159937260163</v>
      </c>
      <c r="EX82" s="352">
        <f t="shared" si="84"/>
        <v>24.258237926339785</v>
      </c>
      <c r="EY82" s="89">
        <f t="shared" si="87"/>
        <v>6.7052410016938069E-2</v>
      </c>
      <c r="EZ82" s="89">
        <f t="shared" si="87"/>
        <v>5.2592585269562786E-2</v>
      </c>
    </row>
    <row r="83" spans="2:156" ht="15" customHeight="1">
      <c r="B83" s="282" t="s">
        <v>462</v>
      </c>
      <c r="C83" s="282"/>
      <c r="F83" s="282"/>
      <c r="G83" s="282"/>
      <c r="H83" s="282"/>
      <c r="I83" s="282"/>
      <c r="J83" s="255"/>
      <c r="K83" s="255"/>
      <c r="L83" s="255"/>
      <c r="N83" s="282" t="s">
        <v>452</v>
      </c>
      <c r="O83" s="282"/>
      <c r="V83" s="282" t="s">
        <v>456</v>
      </c>
      <c r="W83" s="282"/>
      <c r="X83" s="255"/>
      <c r="Y83" s="255"/>
      <c r="Z83" s="255"/>
      <c r="AA83" s="255"/>
      <c r="AB83" s="255"/>
      <c r="AC83" s="397"/>
      <c r="AD83" s="255"/>
      <c r="AE83" s="255"/>
      <c r="AF83" s="255"/>
      <c r="AG83" s="255"/>
      <c r="AH83" s="255"/>
      <c r="AI83" s="255"/>
      <c r="AJ83" s="397"/>
      <c r="AK83" s="255"/>
      <c r="AL83" s="255"/>
      <c r="AM83" s="255"/>
      <c r="AN83" s="397"/>
      <c r="AO83" s="397"/>
      <c r="AP83" s="255"/>
      <c r="AQ83" s="255"/>
      <c r="AR83" s="255"/>
      <c r="AT83" s="282"/>
      <c r="AU83" s="282"/>
      <c r="AX83" s="282"/>
      <c r="AY83" s="282"/>
      <c r="BC83" s="282" t="s">
        <v>456</v>
      </c>
      <c r="BD83" s="282"/>
      <c r="BE83" s="282"/>
      <c r="BF83" s="282"/>
      <c r="BJ83" s="380"/>
      <c r="BV83" s="282" t="s">
        <v>462</v>
      </c>
      <c r="BW83" s="282"/>
      <c r="BX83" s="282"/>
      <c r="BY83" s="282"/>
      <c r="BZ83" s="255"/>
      <c r="CA83" s="255"/>
      <c r="CB83" s="255"/>
      <c r="CD83" s="282" t="s">
        <v>462</v>
      </c>
      <c r="CE83" s="282"/>
      <c r="CF83" s="282"/>
      <c r="CG83" s="255"/>
      <c r="CH83" s="255"/>
      <c r="CI83" s="255"/>
      <c r="CJ83" s="255"/>
      <c r="CL83" s="282" t="s">
        <v>456</v>
      </c>
      <c r="CM83" s="282"/>
      <c r="CN83" s="282"/>
      <c r="CO83" s="282" t="s">
        <v>462</v>
      </c>
      <c r="CP83" s="282"/>
      <c r="CW83" s="248" t="s">
        <v>446</v>
      </c>
      <c r="CX83">
        <v>1061</v>
      </c>
      <c r="CY83">
        <v>1061</v>
      </c>
      <c r="CZ83" t="s">
        <v>634</v>
      </c>
      <c r="DH83" s="248" t="s">
        <v>376</v>
      </c>
      <c r="DI83">
        <v>31.02</v>
      </c>
      <c r="DJ83">
        <v>23</v>
      </c>
      <c r="DK83">
        <v>24.71</v>
      </c>
      <c r="DM83" s="353">
        <v>39783</v>
      </c>
      <c r="DN83">
        <v>26.51</v>
      </c>
      <c r="DO83">
        <v>24.71</v>
      </c>
      <c r="DP83" s="365">
        <f t="shared" si="89"/>
        <v>6.8951612903225934E-2</v>
      </c>
      <c r="DQ83" s="365">
        <f t="shared" si="89"/>
        <v>5.5982905982906006E-2</v>
      </c>
      <c r="DR83" s="365">
        <f t="shared" si="86"/>
        <v>6.6705412096979222E-2</v>
      </c>
      <c r="DS83" s="365">
        <f t="shared" si="86"/>
        <v>5.2674590086278172E-2</v>
      </c>
      <c r="DU83" s="367">
        <v>42248</v>
      </c>
      <c r="DV83">
        <v>123.3</v>
      </c>
      <c r="DW83">
        <v>123.1</v>
      </c>
      <c r="DX83" s="369">
        <v>123.6</v>
      </c>
      <c r="DY83" s="367">
        <v>24351</v>
      </c>
      <c r="DZ83" s="368">
        <v>8.6</v>
      </c>
      <c r="EJ83" s="248" t="s">
        <v>380</v>
      </c>
      <c r="EK83" s="95">
        <v>139120900</v>
      </c>
      <c r="EL83" s="95">
        <v>1254227400</v>
      </c>
      <c r="EN83" s="248" t="s">
        <v>380</v>
      </c>
      <c r="EO83" s="95">
        <v>5218600</v>
      </c>
      <c r="EP83" s="95">
        <v>50101000</v>
      </c>
      <c r="ER83" s="352">
        <f t="shared" si="83"/>
        <v>26.658663243015368</v>
      </c>
      <c r="ES83" s="352">
        <f t="shared" si="83"/>
        <v>25.033979361689386</v>
      </c>
      <c r="ET83" s="89">
        <f t="shared" si="85"/>
        <v>5.1135461012506989E-2</v>
      </c>
      <c r="EU83" s="89">
        <f t="shared" si="85"/>
        <v>5.4046864819489171E-2</v>
      </c>
      <c r="EV83" s="350">
        <v>39873</v>
      </c>
      <c r="EW83" s="352">
        <f t="shared" si="84"/>
        <v>26.22035459023342</v>
      </c>
      <c r="EX83" s="352">
        <f t="shared" si="84"/>
        <v>24.57906028791561</v>
      </c>
      <c r="EY83" s="89">
        <f t="shared" si="87"/>
        <v>6.3712365663708637E-2</v>
      </c>
      <c r="EZ83" s="89">
        <f t="shared" si="87"/>
        <v>5.4475011859911326E-2</v>
      </c>
    </row>
    <row r="84" spans="2:156" ht="15" customHeight="1">
      <c r="B84" s="282"/>
      <c r="C84" s="282"/>
      <c r="F84" s="282" t="s">
        <v>467</v>
      </c>
      <c r="G84" s="282"/>
      <c r="H84" s="282"/>
      <c r="I84" s="282"/>
      <c r="J84" s="255"/>
      <c r="K84" s="255"/>
      <c r="L84" s="255"/>
      <c r="N84" s="282" t="s">
        <v>456</v>
      </c>
      <c r="O84" s="282"/>
      <c r="V84" s="282" t="s">
        <v>459</v>
      </c>
      <c r="W84" s="282"/>
      <c r="X84" s="255"/>
      <c r="Y84" s="255"/>
      <c r="Z84" s="255"/>
      <c r="AA84" s="255"/>
      <c r="AB84" s="255"/>
      <c r="AC84" s="397" t="s">
        <v>467</v>
      </c>
      <c r="AD84" s="255"/>
      <c r="AE84" s="255"/>
      <c r="AF84" s="255"/>
      <c r="AG84" s="255"/>
      <c r="AH84" s="255"/>
      <c r="AI84" s="255"/>
      <c r="AJ84" s="397" t="s">
        <v>467</v>
      </c>
      <c r="AK84" s="255"/>
      <c r="AL84" s="255"/>
      <c r="AM84" s="255"/>
      <c r="AN84" s="397"/>
      <c r="AO84" s="397" t="s">
        <v>467</v>
      </c>
      <c r="AP84" s="255"/>
      <c r="AQ84" s="255"/>
      <c r="AR84" s="255"/>
      <c r="AS84" s="397"/>
      <c r="AT84" s="282" t="s">
        <v>467</v>
      </c>
      <c r="AU84" s="282"/>
      <c r="AX84" s="282" t="s">
        <v>467</v>
      </c>
      <c r="AY84" s="282"/>
      <c r="BC84" s="282" t="s">
        <v>459</v>
      </c>
      <c r="BD84" s="282"/>
      <c r="BE84" s="282"/>
      <c r="BF84" s="282"/>
      <c r="BJ84" s="380"/>
      <c r="BV84" s="282"/>
      <c r="BW84" s="282"/>
      <c r="BX84" s="282"/>
      <c r="BY84" s="282"/>
      <c r="BZ84" s="255"/>
      <c r="CA84" s="255"/>
      <c r="CB84" s="255"/>
      <c r="CD84" s="282"/>
      <c r="CE84" s="282"/>
      <c r="CF84" s="282"/>
      <c r="CG84" s="255"/>
      <c r="CH84" s="255"/>
      <c r="CI84" s="255"/>
      <c r="CJ84" s="255"/>
      <c r="CL84" s="282" t="s">
        <v>459</v>
      </c>
      <c r="CM84" s="282"/>
      <c r="CN84" s="282"/>
      <c r="CO84" s="282"/>
      <c r="CP84" s="282"/>
      <c r="CW84" s="248" t="s">
        <v>451</v>
      </c>
      <c r="CX84">
        <v>1066</v>
      </c>
      <c r="CY84">
        <v>1066</v>
      </c>
      <c r="CZ84" t="s">
        <v>634</v>
      </c>
      <c r="DH84" s="248" t="s">
        <v>380</v>
      </c>
      <c r="DI84">
        <v>31.84</v>
      </c>
      <c r="DJ84">
        <v>23.24</v>
      </c>
      <c r="DK84">
        <v>25.03</v>
      </c>
      <c r="DM84" s="353">
        <v>39873</v>
      </c>
      <c r="DN84">
        <v>26.66</v>
      </c>
      <c r="DO84">
        <v>25.03</v>
      </c>
      <c r="DP84" s="365">
        <f t="shared" si="89"/>
        <v>5.1261829652996971E-2</v>
      </c>
      <c r="DQ84" s="365">
        <f t="shared" si="89"/>
        <v>5.3894736842105218E-2</v>
      </c>
      <c r="DR84" s="365">
        <f t="shared" si="86"/>
        <v>6.3781712438713001E-2</v>
      </c>
      <c r="DS84" s="365">
        <f t="shared" si="86"/>
        <v>5.4590875917572834E-2</v>
      </c>
      <c r="DU84" s="367">
        <v>42339</v>
      </c>
      <c r="DV84">
        <v>123.8</v>
      </c>
      <c r="DW84">
        <v>123.5</v>
      </c>
      <c r="DX84" s="369">
        <v>124.2</v>
      </c>
      <c r="DY84" s="367">
        <v>24442</v>
      </c>
      <c r="DZ84" s="368">
        <v>8.6999999999999993</v>
      </c>
      <c r="EJ84" s="248" t="s">
        <v>384</v>
      </c>
      <c r="EK84" s="95">
        <v>137269000</v>
      </c>
      <c r="EL84" s="95">
        <v>1242158800</v>
      </c>
      <c r="EN84" s="248" t="s">
        <v>384</v>
      </c>
      <c r="EO84" s="95">
        <v>5101700</v>
      </c>
      <c r="EP84" s="95">
        <v>49264300</v>
      </c>
      <c r="ER84" s="352">
        <f t="shared" si="83"/>
        <v>26.906521355626555</v>
      </c>
      <c r="ES84" s="352">
        <f t="shared" si="83"/>
        <v>25.214177406357138</v>
      </c>
      <c r="ET84" s="89">
        <f t="shared" si="85"/>
        <v>5.0881711369100691E-2</v>
      </c>
      <c r="EU84" s="89">
        <f t="shared" si="85"/>
        <v>4.6100172833675401E-2</v>
      </c>
      <c r="EV84" s="350">
        <v>39965</v>
      </c>
      <c r="EW84" s="352">
        <f t="shared" si="84"/>
        <v>26.542539894069755</v>
      </c>
      <c r="EX84" s="352">
        <f t="shared" si="84"/>
        <v>24.856890662012219</v>
      </c>
      <c r="EY84" s="89">
        <f t="shared" si="87"/>
        <v>6.0086794399991206E-2</v>
      </c>
      <c r="EZ84" s="89">
        <f t="shared" si="87"/>
        <v>5.2690017746962914E-2</v>
      </c>
    </row>
    <row r="85" spans="2:156" ht="15" customHeight="1">
      <c r="B85" s="282" t="s">
        <v>467</v>
      </c>
      <c r="C85" s="282"/>
      <c r="F85" s="282"/>
      <c r="G85" s="282"/>
      <c r="H85" s="282"/>
      <c r="I85" s="282"/>
      <c r="J85" s="255"/>
      <c r="K85" s="255"/>
      <c r="L85" s="255"/>
      <c r="N85" s="282" t="s">
        <v>459</v>
      </c>
      <c r="O85" s="282"/>
      <c r="V85" s="282" t="s">
        <v>462</v>
      </c>
      <c r="W85" s="282"/>
      <c r="X85" s="255"/>
      <c r="Y85" s="255"/>
      <c r="Z85" s="255"/>
      <c r="AA85" s="255"/>
      <c r="AB85" s="255"/>
      <c r="AC85" s="397"/>
      <c r="AD85" s="255"/>
      <c r="AE85" s="255"/>
      <c r="AF85" s="255"/>
      <c r="AG85" s="255"/>
      <c r="AH85" s="255"/>
      <c r="AI85" s="255"/>
      <c r="AJ85" s="397"/>
      <c r="AK85" s="255"/>
      <c r="AL85" s="255"/>
      <c r="AM85" s="255"/>
      <c r="AN85" s="397"/>
      <c r="AO85" s="397"/>
      <c r="AP85" s="255"/>
      <c r="AQ85" s="255"/>
      <c r="AR85" s="255"/>
      <c r="AS85" s="397"/>
      <c r="AT85" s="282"/>
      <c r="AU85" s="282"/>
      <c r="AX85" s="282"/>
      <c r="AY85" s="282"/>
      <c r="BC85" s="282" t="s">
        <v>462</v>
      </c>
      <c r="BD85" s="282"/>
      <c r="BE85" s="282"/>
      <c r="BF85" s="282"/>
      <c r="BJ85" s="380"/>
      <c r="BV85" s="282" t="s">
        <v>467</v>
      </c>
      <c r="BW85" s="282"/>
      <c r="BX85" s="282"/>
      <c r="BY85" s="282"/>
      <c r="BZ85" s="255"/>
      <c r="CA85" s="255"/>
      <c r="CB85" s="255"/>
      <c r="CD85" s="282" t="s">
        <v>467</v>
      </c>
      <c r="CE85" s="282"/>
      <c r="CF85" s="282"/>
      <c r="CG85" s="255"/>
      <c r="CH85" s="255"/>
      <c r="CI85" s="255"/>
      <c r="CJ85" s="255"/>
      <c r="CL85" s="282" t="s">
        <v>462</v>
      </c>
      <c r="CM85" s="282"/>
      <c r="CN85" s="282"/>
      <c r="CO85" s="282" t="s">
        <v>467</v>
      </c>
      <c r="CP85" s="282"/>
      <c r="CW85" s="248" t="s">
        <v>455</v>
      </c>
      <c r="CX85">
        <v>1070</v>
      </c>
      <c r="CY85">
        <v>1070</v>
      </c>
      <c r="CZ85" t="s">
        <v>634</v>
      </c>
      <c r="DH85" s="248" t="s">
        <v>384</v>
      </c>
      <c r="DI85">
        <v>31.76</v>
      </c>
      <c r="DJ85">
        <v>23.42</v>
      </c>
      <c r="DK85">
        <v>25.21</v>
      </c>
      <c r="DM85" s="353">
        <v>39965</v>
      </c>
      <c r="DN85">
        <v>26.91</v>
      </c>
      <c r="DO85">
        <v>25.21</v>
      </c>
      <c r="DP85" s="365">
        <f t="shared" si="89"/>
        <v>5.1171874999999867E-2</v>
      </c>
      <c r="DQ85" s="365">
        <f t="shared" si="89"/>
        <v>4.6058091286307112E-2</v>
      </c>
      <c r="DR85" s="365">
        <f t="shared" si="86"/>
        <v>6.0559082573029555E-2</v>
      </c>
      <c r="DS85" s="365">
        <f t="shared" si="86"/>
        <v>5.2883083233057127E-2</v>
      </c>
      <c r="DU85" s="367">
        <v>42430</v>
      </c>
      <c r="DV85">
        <v>124.4</v>
      </c>
      <c r="DW85">
        <v>124.1</v>
      </c>
      <c r="DX85" s="369">
        <v>124.8</v>
      </c>
      <c r="DY85" s="367">
        <v>24532</v>
      </c>
      <c r="DZ85" s="368">
        <v>8.8000000000000007</v>
      </c>
      <c r="EJ85" s="248" t="s">
        <v>388</v>
      </c>
      <c r="EK85" s="95">
        <v>138455700</v>
      </c>
      <c r="EL85" s="95">
        <v>1234131500</v>
      </c>
      <c r="EN85" s="248" t="s">
        <v>388</v>
      </c>
      <c r="EO85" s="95">
        <v>5187000</v>
      </c>
      <c r="EP85" s="95">
        <v>48523800</v>
      </c>
      <c r="ER85" s="352">
        <f t="shared" si="83"/>
        <v>26.692828224407172</v>
      </c>
      <c r="ES85" s="352">
        <f t="shared" si="83"/>
        <v>25.433529525717276</v>
      </c>
      <c r="ET85" s="89">
        <f t="shared" si="85"/>
        <v>2.2988640286231155E-2</v>
      </c>
      <c r="EU85" s="89">
        <f t="shared" si="85"/>
        <v>3.9026022201239741E-2</v>
      </c>
      <c r="EV85" s="350">
        <v>40057</v>
      </c>
      <c r="EW85" s="352">
        <f t="shared" si="84"/>
        <v>26.691700064453286</v>
      </c>
      <c r="EX85" s="352">
        <f t="shared" si="84"/>
        <v>25.094043009420616</v>
      </c>
      <c r="EY85" s="89">
        <f t="shared" si="87"/>
        <v>4.7812509666164571E-2</v>
      </c>
      <c r="EZ85" s="89">
        <f t="shared" si="87"/>
        <v>4.8635611183449168E-2</v>
      </c>
    </row>
    <row r="86" spans="2:156" ht="30" customHeight="1">
      <c r="B86" s="282"/>
      <c r="C86" s="282"/>
      <c r="F86" s="282" t="s">
        <v>471</v>
      </c>
      <c r="G86" s="282"/>
      <c r="H86" s="282"/>
      <c r="I86" s="282"/>
      <c r="J86" s="255"/>
      <c r="K86" s="255"/>
      <c r="L86" s="255"/>
      <c r="N86" s="282" t="s">
        <v>462</v>
      </c>
      <c r="O86" s="282"/>
      <c r="V86" s="282"/>
      <c r="W86" s="282"/>
      <c r="X86" s="255"/>
      <c r="Y86" s="255"/>
      <c r="Z86" s="255"/>
      <c r="AA86" s="255"/>
      <c r="AB86" s="255"/>
      <c r="AC86" s="397" t="s">
        <v>471</v>
      </c>
      <c r="AD86" s="255"/>
      <c r="AE86" s="255"/>
      <c r="AF86" s="255"/>
      <c r="AG86" s="255"/>
      <c r="AH86" s="255"/>
      <c r="AI86" s="255"/>
      <c r="AJ86" s="397" t="s">
        <v>471</v>
      </c>
      <c r="AK86" s="255"/>
      <c r="AL86" s="255"/>
      <c r="AM86" s="255"/>
      <c r="AN86" s="397"/>
      <c r="AO86" s="397" t="s">
        <v>471</v>
      </c>
      <c r="AP86" s="255"/>
      <c r="AQ86" s="255"/>
      <c r="AR86" s="255"/>
      <c r="AS86" s="397"/>
      <c r="AT86" s="282" t="s">
        <v>471</v>
      </c>
      <c r="AU86" s="282"/>
      <c r="AX86" s="282" t="s">
        <v>471</v>
      </c>
      <c r="AY86" s="282"/>
      <c r="BC86" s="282"/>
      <c r="BD86" s="282"/>
      <c r="BE86" s="282"/>
      <c r="BF86" s="282"/>
      <c r="BJ86" s="380"/>
      <c r="BV86" s="282"/>
      <c r="BW86" s="282"/>
      <c r="BX86" s="282"/>
      <c r="BY86" s="282"/>
      <c r="BZ86" s="255"/>
      <c r="CA86" s="255"/>
      <c r="CB86" s="255"/>
      <c r="CD86" s="282"/>
      <c r="CE86" s="282"/>
      <c r="CF86" s="282"/>
      <c r="CG86" s="255"/>
      <c r="CH86" s="255"/>
      <c r="CI86" s="255"/>
      <c r="CJ86" s="255"/>
      <c r="CL86" s="282"/>
      <c r="CM86" s="282"/>
      <c r="CN86" s="282"/>
      <c r="CO86" s="282"/>
      <c r="CP86" s="282"/>
      <c r="CW86" s="248" t="s">
        <v>458</v>
      </c>
      <c r="CX86">
        <v>1074</v>
      </c>
      <c r="CY86">
        <v>1074</v>
      </c>
      <c r="CZ86">
        <v>1085</v>
      </c>
      <c r="DH86" s="248" t="s">
        <v>388</v>
      </c>
      <c r="DI86">
        <v>32.119999999999997</v>
      </c>
      <c r="DJ86">
        <v>23.57</v>
      </c>
      <c r="DK86">
        <v>25.43</v>
      </c>
      <c r="DM86" s="353">
        <v>40057</v>
      </c>
      <c r="DN86">
        <v>26.69</v>
      </c>
      <c r="DO86">
        <v>25.43</v>
      </c>
      <c r="DP86" s="365">
        <f t="shared" si="89"/>
        <v>2.2997316979685767E-2</v>
      </c>
      <c r="DQ86" s="365">
        <f t="shared" si="89"/>
        <v>3.8807189542483522E-2</v>
      </c>
      <c r="DR86" s="365">
        <f t="shared" si="86"/>
        <v>4.8465857305000748E-2</v>
      </c>
      <c r="DS86" s="365">
        <f t="shared" si="86"/>
        <v>4.8663659939445214E-2</v>
      </c>
      <c r="DU86" s="367">
        <v>42522</v>
      </c>
      <c r="DV86">
        <v>124.8</v>
      </c>
      <c r="DW86">
        <v>124.5</v>
      </c>
      <c r="DX86" s="369">
        <v>125.1</v>
      </c>
      <c r="DY86" s="367">
        <v>24624</v>
      </c>
      <c r="DZ86" s="368">
        <v>8.9</v>
      </c>
      <c r="EJ86" s="248" t="s">
        <v>392</v>
      </c>
      <c r="EK86" s="95">
        <v>142344700</v>
      </c>
      <c r="EL86" s="95">
        <v>1254203500</v>
      </c>
      <c r="EN86" s="248" t="s">
        <v>392</v>
      </c>
      <c r="EO86" s="95">
        <v>5237700</v>
      </c>
      <c r="EP86" s="95">
        <v>49402500</v>
      </c>
      <c r="ER86" s="352">
        <f t="shared" si="83"/>
        <v>27.17694789697768</v>
      </c>
      <c r="ES86" s="352">
        <f t="shared" si="83"/>
        <v>25.3874500278326</v>
      </c>
      <c r="ET86" s="89">
        <f t="shared" si="85"/>
        <v>2.5140840693467226E-2</v>
      </c>
      <c r="EU86" s="89">
        <f t="shared" si="85"/>
        <v>2.7347665749318573E-2</v>
      </c>
      <c r="EV86" s="350">
        <v>40148</v>
      </c>
      <c r="EW86" s="352">
        <f t="shared" si="84"/>
        <v>26.859016630513377</v>
      </c>
      <c r="EX86" s="352">
        <f t="shared" si="84"/>
        <v>25.265754852208609</v>
      </c>
      <c r="EY86" s="89">
        <f t="shared" si="87"/>
        <v>3.7141396801172677E-2</v>
      </c>
      <c r="EZ86" s="89">
        <f t="shared" si="87"/>
        <v>4.1532980628195437E-2</v>
      </c>
    </row>
    <row r="87" spans="2:156" ht="45" customHeight="1">
      <c r="B87" s="282" t="s">
        <v>471</v>
      </c>
      <c r="C87" s="282"/>
      <c r="F87" s="282" t="s">
        <v>743</v>
      </c>
      <c r="G87" s="282"/>
      <c r="H87" s="282"/>
      <c r="I87" s="282"/>
      <c r="J87" s="255"/>
      <c r="K87" s="255"/>
      <c r="L87" s="255"/>
      <c r="N87" s="282"/>
      <c r="O87" s="282"/>
      <c r="V87" s="282" t="s">
        <v>467</v>
      </c>
      <c r="W87" s="282"/>
      <c r="X87" s="255"/>
      <c r="Y87" s="255"/>
      <c r="Z87" s="255"/>
      <c r="AA87" s="255"/>
      <c r="AB87" s="255"/>
      <c r="AC87" s="397" t="s">
        <v>744</v>
      </c>
      <c r="AD87" s="255"/>
      <c r="AE87" s="255"/>
      <c r="AF87" s="255"/>
      <c r="AG87" s="255"/>
      <c r="AH87" s="255"/>
      <c r="AI87" s="255"/>
      <c r="AJ87" s="397" t="s">
        <v>744</v>
      </c>
      <c r="AK87" s="255"/>
      <c r="AL87" s="255"/>
      <c r="AM87" s="255"/>
      <c r="AN87" s="397"/>
      <c r="AO87" s="397" t="s">
        <v>744</v>
      </c>
      <c r="AP87" s="255"/>
      <c r="AQ87" s="255"/>
      <c r="AR87" s="255"/>
      <c r="AS87" s="397"/>
      <c r="AT87" s="282" t="s">
        <v>745</v>
      </c>
      <c r="AU87" s="282"/>
      <c r="AX87" s="282" t="s">
        <v>746</v>
      </c>
      <c r="AY87" s="282"/>
      <c r="BC87" s="282" t="s">
        <v>467</v>
      </c>
      <c r="BD87" s="282"/>
      <c r="BE87" s="282"/>
      <c r="BF87" s="282"/>
      <c r="BJ87" s="380"/>
      <c r="BV87" s="282" t="s">
        <v>471</v>
      </c>
      <c r="BW87" s="282"/>
      <c r="BX87" s="282"/>
      <c r="BY87" s="282"/>
      <c r="BZ87" s="255"/>
      <c r="CA87" s="255"/>
      <c r="CB87" s="255"/>
      <c r="CD87" s="282" t="s">
        <v>471</v>
      </c>
      <c r="CE87" s="282"/>
      <c r="CF87" s="282"/>
      <c r="CG87" s="255"/>
      <c r="CH87" s="255"/>
      <c r="CI87" s="255"/>
      <c r="CJ87" s="255"/>
      <c r="CL87" s="282" t="s">
        <v>467</v>
      </c>
      <c r="CM87" s="282"/>
      <c r="CN87" s="282"/>
      <c r="CO87" s="282" t="s">
        <v>471</v>
      </c>
      <c r="CP87" s="282"/>
      <c r="CW87" s="248" t="s">
        <v>461</v>
      </c>
      <c r="CX87">
        <v>1078</v>
      </c>
      <c r="CY87">
        <v>1079</v>
      </c>
      <c r="CZ87" t="s">
        <v>634</v>
      </c>
      <c r="DH87" s="248" t="s">
        <v>392</v>
      </c>
      <c r="DI87">
        <v>32.36</v>
      </c>
      <c r="DJ87">
        <v>23.48</v>
      </c>
      <c r="DK87">
        <v>25.39</v>
      </c>
      <c r="DM87" s="353">
        <v>40148</v>
      </c>
      <c r="DN87">
        <v>27.18</v>
      </c>
      <c r="DO87">
        <v>25.39</v>
      </c>
      <c r="DP87" s="365">
        <f t="shared" si="89"/>
        <v>2.5273481705016865E-2</v>
      </c>
      <c r="DQ87" s="365">
        <f t="shared" si="89"/>
        <v>2.7519222986644998E-2</v>
      </c>
      <c r="DR87" s="365">
        <f t="shared" si="86"/>
        <v>3.7587454206340354E-2</v>
      </c>
      <c r="DS87" s="365">
        <f t="shared" si="86"/>
        <v>4.1524487592363712E-2</v>
      </c>
      <c r="DU87" s="367">
        <v>42614</v>
      </c>
      <c r="DV87">
        <v>126.1</v>
      </c>
      <c r="DW87">
        <v>126</v>
      </c>
      <c r="DX87" s="369">
        <v>126.2</v>
      </c>
      <c r="DY87" s="367">
        <v>24716</v>
      </c>
      <c r="DZ87" s="368">
        <v>9</v>
      </c>
      <c r="EJ87" s="248" t="s">
        <v>396</v>
      </c>
      <c r="EK87" s="95">
        <v>146186000</v>
      </c>
      <c r="EL87" s="95">
        <v>1257498100</v>
      </c>
      <c r="EN87" s="248" t="s">
        <v>396</v>
      </c>
      <c r="EO87" s="95">
        <v>5368100</v>
      </c>
      <c r="EP87" s="95">
        <v>49705600</v>
      </c>
      <c r="ER87" s="352">
        <f t="shared" si="83"/>
        <v>27.232354091764311</v>
      </c>
      <c r="ES87" s="352">
        <f t="shared" si="83"/>
        <v>25.298922053048347</v>
      </c>
      <c r="ET87" s="89">
        <f t="shared" si="85"/>
        <v>2.151986555061991E-2</v>
      </c>
      <c r="EU87" s="89">
        <f t="shared" si="85"/>
        <v>1.0583323071857054E-2</v>
      </c>
      <c r="EV87" s="350">
        <v>40238</v>
      </c>
      <c r="EW87" s="352">
        <f t="shared" ref="EW87:EX102" si="90">SUM(EK84:EK87)/SUM(EO84:EO87)</f>
        <v>27.004972600445093</v>
      </c>
      <c r="EX87" s="352">
        <f t="shared" si="90"/>
        <v>25.333103940045568</v>
      </c>
      <c r="EY87" s="89">
        <f t="shared" si="87"/>
        <v>2.9924004555755612E-2</v>
      </c>
      <c r="EZ87" s="89">
        <f t="shared" si="87"/>
        <v>3.0678294584788768E-2</v>
      </c>
    </row>
    <row r="88" spans="2:156" ht="15" customHeight="1">
      <c r="B88" s="282" t="s">
        <v>747</v>
      </c>
      <c r="C88" s="282"/>
      <c r="F88" s="282"/>
      <c r="G88" s="282"/>
      <c r="H88" s="282"/>
      <c r="I88" s="282"/>
      <c r="J88" s="255"/>
      <c r="K88" s="255"/>
      <c r="L88" s="255"/>
      <c r="N88" s="282" t="s">
        <v>467</v>
      </c>
      <c r="O88" s="282"/>
      <c r="V88" s="282"/>
      <c r="W88" s="282"/>
      <c r="X88" s="255"/>
      <c r="Y88" s="255"/>
      <c r="Z88" s="255"/>
      <c r="AA88" s="255"/>
      <c r="AB88" s="255"/>
      <c r="AC88" s="397"/>
      <c r="AD88" s="255"/>
      <c r="AE88" s="255"/>
      <c r="AF88" s="255"/>
      <c r="AG88" s="255"/>
      <c r="AH88" s="255"/>
      <c r="AI88" s="255"/>
      <c r="AJ88" s="397"/>
      <c r="AK88" s="255"/>
      <c r="AL88" s="255"/>
      <c r="AM88" s="255"/>
      <c r="AN88" s="397"/>
      <c r="AO88" s="397"/>
      <c r="AP88" s="255"/>
      <c r="AQ88" s="255"/>
      <c r="AR88" s="255"/>
      <c r="AS88" s="397"/>
      <c r="AT88" s="282"/>
      <c r="AU88" s="282"/>
      <c r="AX88" s="282"/>
      <c r="AY88" s="282"/>
      <c r="BC88" s="282"/>
      <c r="BD88" s="282"/>
      <c r="BE88" s="282"/>
      <c r="BF88" s="282"/>
      <c r="BJ88" s="380"/>
      <c r="BV88" s="282" t="s">
        <v>748</v>
      </c>
      <c r="BW88" s="282"/>
      <c r="BX88" s="282"/>
      <c r="BY88" s="282"/>
      <c r="BZ88" s="255"/>
      <c r="CA88" s="255"/>
      <c r="CB88" s="255"/>
      <c r="CD88" s="282" t="s">
        <v>749</v>
      </c>
      <c r="CE88" s="282"/>
      <c r="CF88" s="282"/>
      <c r="CG88" s="255"/>
      <c r="CH88" s="255"/>
      <c r="CI88" s="255"/>
      <c r="CJ88" s="255"/>
      <c r="CL88" s="282"/>
      <c r="CM88" s="282"/>
      <c r="CN88" s="282"/>
      <c r="CO88" s="282" t="s">
        <v>750</v>
      </c>
      <c r="CP88" s="282"/>
      <c r="CW88" s="248" t="s">
        <v>464</v>
      </c>
      <c r="CX88">
        <v>1083</v>
      </c>
      <c r="CY88">
        <v>1083</v>
      </c>
      <c r="CZ88" t="s">
        <v>634</v>
      </c>
      <c r="DH88" s="248" t="s">
        <v>396</v>
      </c>
      <c r="DI88">
        <v>32.6</v>
      </c>
      <c r="DJ88">
        <v>23.4</v>
      </c>
      <c r="DK88">
        <v>25.3</v>
      </c>
      <c r="DM88" s="353">
        <v>40238</v>
      </c>
      <c r="DN88">
        <v>27.23</v>
      </c>
      <c r="DO88">
        <v>25.3</v>
      </c>
      <c r="DP88" s="365">
        <f t="shared" si="89"/>
        <v>2.1380345086271513E-2</v>
      </c>
      <c r="DQ88" s="365">
        <f t="shared" si="89"/>
        <v>1.0787055533360013E-2</v>
      </c>
      <c r="DR88" s="365">
        <f t="shared" si="86"/>
        <v>3.0134333354027598E-2</v>
      </c>
      <c r="DS88" s="365">
        <f t="shared" si="86"/>
        <v>3.0706688300104812E-2</v>
      </c>
      <c r="DU88" s="367">
        <v>42705</v>
      </c>
      <c r="DV88">
        <v>126.8</v>
      </c>
      <c r="DW88">
        <v>126.5</v>
      </c>
      <c r="DX88" s="369">
        <v>127.2</v>
      </c>
      <c r="DY88" s="367">
        <v>24807</v>
      </c>
      <c r="DZ88" s="368">
        <v>9</v>
      </c>
      <c r="EJ88" s="248" t="s">
        <v>400</v>
      </c>
      <c r="EK88" s="95">
        <v>145914100</v>
      </c>
      <c r="EL88" s="95">
        <v>1278079100</v>
      </c>
      <c r="EN88" s="248" t="s">
        <v>400</v>
      </c>
      <c r="EO88" s="95">
        <v>5420800</v>
      </c>
      <c r="EP88" s="95">
        <v>50149700</v>
      </c>
      <c r="ER88" s="352">
        <f t="shared" si="83"/>
        <v>26.917447609208974</v>
      </c>
      <c r="ES88" s="352">
        <f t="shared" si="83"/>
        <v>25.485279074451093</v>
      </c>
      <c r="ET88" s="89">
        <f t="shared" ref="ET88:EU103" si="91">ER88/ER84-1</f>
        <v>4.0608198428948583E-4</v>
      </c>
      <c r="EU88" s="89">
        <f t="shared" si="91"/>
        <v>1.0751953701475969E-2</v>
      </c>
      <c r="EV88" s="350">
        <v>40330</v>
      </c>
      <c r="EW88" s="352">
        <f t="shared" si="90"/>
        <v>27.006283704793152</v>
      </c>
      <c r="EX88" s="352">
        <f t="shared" si="90"/>
        <v>25.401312356660075</v>
      </c>
      <c r="EY88" s="89">
        <f t="shared" si="87"/>
        <v>1.7471719457677448E-2</v>
      </c>
      <c r="EZ88" s="89">
        <f t="shared" si="87"/>
        <v>2.1902244413854799E-2</v>
      </c>
    </row>
    <row r="89" spans="2:156" ht="15" customHeight="1">
      <c r="B89" s="282"/>
      <c r="C89" s="282"/>
      <c r="F89" s="282" t="s">
        <v>478</v>
      </c>
      <c r="G89" s="282"/>
      <c r="H89" s="282"/>
      <c r="I89" s="282"/>
      <c r="J89" s="255"/>
      <c r="K89" s="255"/>
      <c r="L89" s="255"/>
      <c r="N89" s="282"/>
      <c r="O89" s="282"/>
      <c r="V89" s="282" t="s">
        <v>471</v>
      </c>
      <c r="W89" s="282"/>
      <c r="X89" s="255"/>
      <c r="Y89" s="255"/>
      <c r="Z89" s="255"/>
      <c r="AA89" s="255"/>
      <c r="AB89" s="255"/>
      <c r="AC89" s="397" t="s">
        <v>478</v>
      </c>
      <c r="AD89" s="255"/>
      <c r="AE89" s="255"/>
      <c r="AF89" s="255"/>
      <c r="AG89" s="255"/>
      <c r="AH89" s="255"/>
      <c r="AI89" s="255"/>
      <c r="AJ89" s="397" t="s">
        <v>478</v>
      </c>
      <c r="AK89" s="255"/>
      <c r="AL89" s="255"/>
      <c r="AM89" s="255"/>
      <c r="AN89" s="397"/>
      <c r="AO89" s="397" t="s">
        <v>478</v>
      </c>
      <c r="AP89" s="255"/>
      <c r="AQ89" s="255"/>
      <c r="AR89" s="255"/>
      <c r="AS89" s="397"/>
      <c r="AT89" s="282" t="s">
        <v>478</v>
      </c>
      <c r="AU89" s="282"/>
      <c r="AX89" s="282" t="s">
        <v>478</v>
      </c>
      <c r="AY89" s="282"/>
      <c r="BC89" s="282" t="s">
        <v>471</v>
      </c>
      <c r="BD89" s="282"/>
      <c r="BE89" s="282"/>
      <c r="BF89" s="282"/>
      <c r="BJ89" s="380"/>
      <c r="BV89" s="282"/>
      <c r="BW89" s="282"/>
      <c r="BX89" s="282"/>
      <c r="BY89" s="282"/>
      <c r="BZ89" s="255"/>
      <c r="CA89" s="255"/>
      <c r="CB89" s="255"/>
      <c r="CD89" s="282"/>
      <c r="CE89" s="282"/>
      <c r="CF89" s="282"/>
      <c r="CG89" s="255"/>
      <c r="CH89" s="255"/>
      <c r="CI89" s="255"/>
      <c r="CJ89" s="255"/>
      <c r="CL89" s="282" t="s">
        <v>471</v>
      </c>
      <c r="CM89" s="282"/>
      <c r="CN89" s="282"/>
      <c r="CO89" s="282"/>
      <c r="CP89" s="282"/>
      <c r="CW89" s="248" t="s">
        <v>466</v>
      </c>
      <c r="CX89">
        <v>1086</v>
      </c>
      <c r="CY89">
        <v>1087</v>
      </c>
      <c r="CZ89" t="s">
        <v>634</v>
      </c>
      <c r="DH89" s="248" t="s">
        <v>400</v>
      </c>
      <c r="DI89">
        <v>32.590000000000003</v>
      </c>
      <c r="DJ89">
        <v>23.53</v>
      </c>
      <c r="DK89">
        <v>25.49</v>
      </c>
      <c r="DM89" s="353">
        <v>40330</v>
      </c>
      <c r="DN89">
        <v>26.92</v>
      </c>
      <c r="DO89">
        <v>25.49</v>
      </c>
      <c r="DP89" s="365">
        <f t="shared" si="89"/>
        <v>3.7160906726119158E-4</v>
      </c>
      <c r="DQ89" s="365">
        <f t="shared" si="89"/>
        <v>1.1106703689012232E-2</v>
      </c>
      <c r="DR89" s="365">
        <f t="shared" si="86"/>
        <v>1.7456307281236816E-2</v>
      </c>
      <c r="DS89" s="365">
        <f t="shared" si="86"/>
        <v>2.1987045684796813E-2</v>
      </c>
      <c r="DU89" s="367">
        <v>42795</v>
      </c>
      <c r="DV89">
        <v>127.4</v>
      </c>
      <c r="DW89">
        <v>127</v>
      </c>
      <c r="DX89" s="369">
        <v>127.7</v>
      </c>
      <c r="DY89" s="367">
        <v>24898</v>
      </c>
      <c r="DZ89" s="368">
        <v>9.1</v>
      </c>
      <c r="EJ89" s="248" t="s">
        <v>406</v>
      </c>
      <c r="EK89" s="95">
        <v>147982900</v>
      </c>
      <c r="EL89" s="95">
        <v>1279582300</v>
      </c>
      <c r="EN89" s="248" t="s">
        <v>406</v>
      </c>
      <c r="EO89" s="95">
        <v>5447400</v>
      </c>
      <c r="EP89" s="95">
        <v>49691000</v>
      </c>
      <c r="ER89" s="352">
        <f t="shared" si="83"/>
        <v>27.165785512354518</v>
      </c>
      <c r="ES89" s="352">
        <f t="shared" si="83"/>
        <v>25.750785856593751</v>
      </c>
      <c r="ET89" s="89">
        <f t="shared" si="91"/>
        <v>1.7718515399386847E-2</v>
      </c>
      <c r="EU89" s="89">
        <f t="shared" si="91"/>
        <v>1.2473940376843018E-2</v>
      </c>
      <c r="EV89" s="350">
        <v>40422</v>
      </c>
      <c r="EW89" s="352">
        <f t="shared" si="90"/>
        <v>27.122459718729626</v>
      </c>
      <c r="EX89" s="352">
        <f t="shared" si="90"/>
        <v>25.480741778789316</v>
      </c>
      <c r="EY89" s="89">
        <f t="shared" si="87"/>
        <v>1.6138337132373337E-2</v>
      </c>
      <c r="EZ89" s="89">
        <f t="shared" si="87"/>
        <v>1.5409982728710858E-2</v>
      </c>
    </row>
    <row r="90" spans="2:156" ht="15" customHeight="1">
      <c r="B90" s="282" t="s">
        <v>478</v>
      </c>
      <c r="C90" s="282"/>
      <c r="F90" s="282" t="s">
        <v>751</v>
      </c>
      <c r="G90" s="282"/>
      <c r="H90" s="282"/>
      <c r="I90" s="282"/>
      <c r="J90" s="255"/>
      <c r="K90" s="255"/>
      <c r="L90" s="255"/>
      <c r="N90" s="282" t="s">
        <v>471</v>
      </c>
      <c r="O90" s="282"/>
      <c r="V90" s="282" t="s">
        <v>752</v>
      </c>
      <c r="W90" s="282"/>
      <c r="X90" s="255"/>
      <c r="Y90" s="255"/>
      <c r="Z90" s="255"/>
      <c r="AA90" s="255"/>
      <c r="AB90" s="255"/>
      <c r="AC90" s="397" t="s">
        <v>753</v>
      </c>
      <c r="AD90" s="255"/>
      <c r="AE90" s="255"/>
      <c r="AF90" s="255"/>
      <c r="AG90" s="255"/>
      <c r="AH90" s="255"/>
      <c r="AI90" s="255"/>
      <c r="AJ90" s="397" t="s">
        <v>753</v>
      </c>
      <c r="AK90" s="255"/>
      <c r="AL90" s="255"/>
      <c r="AM90" s="255"/>
      <c r="AN90" s="397"/>
      <c r="AO90" s="397" t="s">
        <v>753</v>
      </c>
      <c r="AP90" s="255"/>
      <c r="AQ90" s="255"/>
      <c r="AR90" s="255"/>
      <c r="AS90" s="397"/>
      <c r="AT90" s="282" t="s">
        <v>754</v>
      </c>
      <c r="AU90" s="282"/>
      <c r="AX90" s="282" t="s">
        <v>754</v>
      </c>
      <c r="AY90" s="282"/>
      <c r="BC90" s="282" t="s">
        <v>755</v>
      </c>
      <c r="BD90" s="282"/>
      <c r="BE90" s="282"/>
      <c r="BF90" s="282"/>
      <c r="BJ90" s="380"/>
      <c r="BV90" s="282" t="s">
        <v>478</v>
      </c>
      <c r="BW90" s="282"/>
      <c r="BX90" s="282"/>
      <c r="BY90" s="282"/>
      <c r="BZ90" s="255"/>
      <c r="CA90" s="255"/>
      <c r="CB90" s="255"/>
      <c r="CD90" s="282" t="s">
        <v>478</v>
      </c>
      <c r="CE90" s="282"/>
      <c r="CF90" s="282"/>
      <c r="CG90" s="255"/>
      <c r="CH90" s="255"/>
      <c r="CI90" s="255"/>
      <c r="CJ90" s="255"/>
      <c r="CL90" s="282" t="s">
        <v>755</v>
      </c>
      <c r="CM90" s="282"/>
      <c r="CN90" s="282"/>
      <c r="CO90" s="282" t="s">
        <v>478</v>
      </c>
      <c r="CP90" s="282"/>
      <c r="CW90" s="248" t="s">
        <v>469</v>
      </c>
      <c r="CX90">
        <v>1091</v>
      </c>
      <c r="CY90">
        <v>1092</v>
      </c>
      <c r="CZ90">
        <v>1104</v>
      </c>
      <c r="DH90" s="248" t="s">
        <v>406</v>
      </c>
      <c r="DI90">
        <v>32.69</v>
      </c>
      <c r="DJ90">
        <v>23.77</v>
      </c>
      <c r="DK90">
        <v>25.75</v>
      </c>
      <c r="DM90" s="353">
        <v>40422</v>
      </c>
      <c r="DN90">
        <v>27.17</v>
      </c>
      <c r="DO90">
        <v>25.75</v>
      </c>
      <c r="DP90" s="365">
        <f t="shared" si="89"/>
        <v>1.7984263769202036E-2</v>
      </c>
      <c r="DQ90" s="365">
        <f t="shared" si="89"/>
        <v>1.2583562721195429E-2</v>
      </c>
      <c r="DR90" s="365">
        <f t="shared" si="86"/>
        <v>1.6207535076429913E-2</v>
      </c>
      <c r="DS90" s="365">
        <f t="shared" si="86"/>
        <v>1.5475319262093112E-2</v>
      </c>
      <c r="DU90" s="367">
        <v>42887</v>
      </c>
      <c r="DV90">
        <v>127.9</v>
      </c>
      <c r="DW90">
        <v>127.5</v>
      </c>
      <c r="DX90" s="369">
        <v>128.5</v>
      </c>
      <c r="DY90" s="367">
        <v>24990</v>
      </c>
      <c r="DZ90" s="368">
        <v>9.1</v>
      </c>
      <c r="EJ90" s="248" t="s">
        <v>412</v>
      </c>
      <c r="EK90" s="95">
        <v>150935700</v>
      </c>
      <c r="EL90" s="95">
        <v>1303105800</v>
      </c>
      <c r="EN90" s="248" t="s">
        <v>412</v>
      </c>
      <c r="EO90" s="95">
        <v>5503800</v>
      </c>
      <c r="EP90" s="95">
        <v>50400200</v>
      </c>
      <c r="ER90" s="352">
        <f t="shared" si="83"/>
        <v>27.423907118717977</v>
      </c>
      <c r="ES90" s="352">
        <f t="shared" si="83"/>
        <v>25.855171209638058</v>
      </c>
      <c r="ET90" s="89">
        <f t="shared" si="91"/>
        <v>9.0870844907409154E-3</v>
      </c>
      <c r="EU90" s="89">
        <f t="shared" si="91"/>
        <v>1.8423322598082548E-2</v>
      </c>
      <c r="EV90" s="350">
        <v>40513</v>
      </c>
      <c r="EW90" s="352">
        <f t="shared" si="90"/>
        <v>27.185647720111682</v>
      </c>
      <c r="EX90" s="352">
        <f t="shared" si="90"/>
        <v>25.598174011548089</v>
      </c>
      <c r="EY90" s="89">
        <f t="shared" si="87"/>
        <v>1.2160947442403147E-2</v>
      </c>
      <c r="EZ90" s="89">
        <f t="shared" si="87"/>
        <v>1.3156905910152172E-2</v>
      </c>
    </row>
    <row r="91" spans="2:156" ht="15" customHeight="1">
      <c r="B91" s="282" t="s">
        <v>756</v>
      </c>
      <c r="C91" s="282"/>
      <c r="F91" s="282"/>
      <c r="G91" s="282"/>
      <c r="H91" s="282"/>
      <c r="I91" s="282"/>
      <c r="J91" s="255"/>
      <c r="K91" s="255"/>
      <c r="L91" s="255"/>
      <c r="N91" s="282" t="s">
        <v>757</v>
      </c>
      <c r="O91" s="282"/>
      <c r="V91" s="282"/>
      <c r="W91" s="282"/>
      <c r="X91" s="255"/>
      <c r="Y91" s="255"/>
      <c r="Z91" s="255"/>
      <c r="AA91" s="255"/>
      <c r="AB91" s="255"/>
      <c r="AC91" s="397"/>
      <c r="AD91" s="255"/>
      <c r="AE91" s="255"/>
      <c r="AF91" s="255"/>
      <c r="AG91" s="255"/>
      <c r="AH91" s="255"/>
      <c r="AI91" s="255"/>
      <c r="AJ91" s="397"/>
      <c r="AK91" s="255"/>
      <c r="AL91" s="255"/>
      <c r="AM91" s="255"/>
      <c r="AN91" s="255"/>
      <c r="AO91" s="397"/>
      <c r="AP91" s="255"/>
      <c r="AQ91" s="255"/>
      <c r="AR91" s="255"/>
      <c r="AS91" s="397"/>
      <c r="AT91" s="282"/>
      <c r="AU91" s="282"/>
      <c r="AW91" s="255"/>
      <c r="AX91" s="282"/>
      <c r="AY91" s="282"/>
      <c r="BC91" s="282"/>
      <c r="BD91" s="282"/>
      <c r="BE91" s="282"/>
      <c r="BF91" s="282"/>
      <c r="BJ91" s="380"/>
      <c r="BV91" s="282" t="s">
        <v>758</v>
      </c>
      <c r="BW91" s="282"/>
      <c r="BX91" s="282"/>
      <c r="BY91" s="282"/>
      <c r="BZ91" s="255"/>
      <c r="CA91" s="255"/>
      <c r="CB91" s="255"/>
      <c r="CD91" s="282" t="s">
        <v>759</v>
      </c>
      <c r="CE91" s="282"/>
      <c r="CF91" s="282"/>
      <c r="CG91" s="255"/>
      <c r="CH91" s="255"/>
      <c r="CI91" s="255"/>
      <c r="CJ91" s="255"/>
      <c r="CL91" s="282"/>
      <c r="CM91" s="282"/>
      <c r="CN91" s="282"/>
      <c r="CO91" s="282" t="s">
        <v>759</v>
      </c>
      <c r="CP91" s="282"/>
      <c r="CW91" s="248" t="s">
        <v>470</v>
      </c>
      <c r="CX91">
        <v>1096</v>
      </c>
      <c r="CY91">
        <v>1096</v>
      </c>
      <c r="CZ91" t="s">
        <v>634</v>
      </c>
      <c r="DH91" s="248" t="s">
        <v>412</v>
      </c>
      <c r="DI91">
        <v>32.799999999999997</v>
      </c>
      <c r="DJ91">
        <v>23.91</v>
      </c>
      <c r="DK91">
        <v>25.86</v>
      </c>
      <c r="DM91" s="353">
        <v>40513</v>
      </c>
      <c r="DN91">
        <v>27.42</v>
      </c>
      <c r="DO91">
        <v>25.86</v>
      </c>
      <c r="DP91" s="365">
        <f t="shared" si="89"/>
        <v>8.8300220750552327E-3</v>
      </c>
      <c r="DQ91" s="365">
        <f t="shared" si="89"/>
        <v>1.8511224891689659E-2</v>
      </c>
      <c r="DR91" s="365">
        <f t="shared" ref="DR91:DS106" si="92">GEOMEAN(DN88:DN91)/GEOMEAN(DN84:DN87)-1</f>
        <v>1.2108283200708669E-2</v>
      </c>
      <c r="DS91" s="365">
        <f t="shared" si="92"/>
        <v>1.3242361814829184E-2</v>
      </c>
      <c r="DU91" s="367">
        <v>42979</v>
      </c>
      <c r="DV91">
        <v>129.6</v>
      </c>
      <c r="DW91">
        <v>129.4</v>
      </c>
      <c r="DX91" s="369">
        <v>129.69999999999999</v>
      </c>
      <c r="DY91" s="367">
        <v>25082</v>
      </c>
      <c r="DZ91" s="368">
        <v>9.1999999999999993</v>
      </c>
      <c r="EJ91" s="248" t="s">
        <v>418</v>
      </c>
      <c r="EK91" s="95">
        <v>152565900</v>
      </c>
      <c r="EL91" s="95">
        <v>1316045600</v>
      </c>
      <c r="EN91" s="248" t="s">
        <v>418</v>
      </c>
      <c r="EO91" s="95">
        <v>5470400</v>
      </c>
      <c r="EP91" s="95">
        <v>50703700</v>
      </c>
      <c r="ER91" s="352">
        <f t="shared" si="83"/>
        <v>27.889349956127521</v>
      </c>
      <c r="ES91" s="352">
        <f t="shared" si="83"/>
        <v>25.955612706764988</v>
      </c>
      <c r="ET91" s="89">
        <f t="shared" si="91"/>
        <v>2.4125562635875841E-2</v>
      </c>
      <c r="EU91" s="89">
        <f t="shared" si="91"/>
        <v>2.5957258271307015E-2</v>
      </c>
      <c r="EV91" s="350">
        <v>40603</v>
      </c>
      <c r="EW91" s="352">
        <f t="shared" si="90"/>
        <v>27.35041021133209</v>
      </c>
      <c r="EX91" s="352">
        <f t="shared" si="90"/>
        <v>25.762388240340869</v>
      </c>
      <c r="EY91" s="89">
        <f t="shared" ref="EY91:EZ106" si="93">EW91/EW87-1</f>
        <v>1.2791629749007827E-2</v>
      </c>
      <c r="EZ91" s="89">
        <f t="shared" si="93"/>
        <v>1.6945586348647401E-2</v>
      </c>
    </row>
    <row r="92" spans="2:156" ht="15" customHeight="1">
      <c r="B92" s="282"/>
      <c r="C92" s="282"/>
      <c r="F92" s="282" t="s">
        <v>551</v>
      </c>
      <c r="G92" s="282"/>
      <c r="H92" s="282"/>
      <c r="I92" s="282"/>
      <c r="J92" s="255"/>
      <c r="K92" s="255"/>
      <c r="L92" s="255"/>
      <c r="N92" s="282"/>
      <c r="O92" s="282"/>
      <c r="V92" s="282" t="s">
        <v>478</v>
      </c>
      <c r="W92" s="282"/>
      <c r="X92" s="255"/>
      <c r="Y92" s="255"/>
      <c r="Z92" s="255"/>
      <c r="AA92" s="255"/>
      <c r="AB92" s="255"/>
      <c r="AC92" s="397" t="s">
        <v>551</v>
      </c>
      <c r="AD92" s="255"/>
      <c r="AE92" s="255"/>
      <c r="AF92" s="255"/>
      <c r="AG92" s="255"/>
      <c r="AH92" s="255"/>
      <c r="AI92" s="255"/>
      <c r="AJ92" s="397" t="s">
        <v>551</v>
      </c>
      <c r="AK92" s="255"/>
      <c r="AL92" s="255"/>
      <c r="AM92" s="255"/>
      <c r="AO92" s="397" t="s">
        <v>551</v>
      </c>
      <c r="AP92" s="255"/>
      <c r="AQ92" s="255"/>
      <c r="AR92" s="255"/>
      <c r="AS92" s="397"/>
      <c r="AT92" s="282" t="s">
        <v>551</v>
      </c>
      <c r="AU92" s="282"/>
      <c r="AX92" s="282" t="s">
        <v>551</v>
      </c>
      <c r="AY92" s="282"/>
      <c r="BC92" s="282" t="s">
        <v>478</v>
      </c>
      <c r="BD92" s="282"/>
      <c r="BE92" s="282"/>
      <c r="BF92" s="282"/>
      <c r="BJ92" s="380"/>
      <c r="BV92" s="282" t="s">
        <v>759</v>
      </c>
      <c r="BW92" s="282"/>
      <c r="BX92" s="282"/>
      <c r="BY92" s="282"/>
      <c r="BZ92" s="255"/>
      <c r="CA92" s="255"/>
      <c r="CB92" s="255"/>
      <c r="CD92" s="282" t="s">
        <v>760</v>
      </c>
      <c r="CE92" s="282"/>
      <c r="CF92" s="282"/>
      <c r="CG92" s="255"/>
      <c r="CH92" s="255"/>
      <c r="CI92" s="255"/>
      <c r="CJ92" s="255"/>
      <c r="CL92" s="282" t="s">
        <v>478</v>
      </c>
      <c r="CM92" s="282"/>
      <c r="CN92" s="282"/>
      <c r="CO92" s="282"/>
      <c r="CP92" s="282"/>
      <c r="CW92" s="248" t="s">
        <v>472</v>
      </c>
      <c r="CX92">
        <v>1101</v>
      </c>
      <c r="CY92">
        <v>1102</v>
      </c>
      <c r="CZ92" t="s">
        <v>634</v>
      </c>
      <c r="DH92" s="248" t="s">
        <v>418</v>
      </c>
      <c r="DI92">
        <v>33.51</v>
      </c>
      <c r="DJ92">
        <v>23.97</v>
      </c>
      <c r="DK92">
        <v>25.96</v>
      </c>
      <c r="DM92" s="353">
        <v>40603</v>
      </c>
      <c r="DN92">
        <v>27.89</v>
      </c>
      <c r="DO92">
        <v>25.96</v>
      </c>
      <c r="DP92" s="365">
        <f t="shared" si="89"/>
        <v>2.4237972824091125E-2</v>
      </c>
      <c r="DQ92" s="365">
        <f t="shared" si="89"/>
        <v>2.6086956521739202E-2</v>
      </c>
      <c r="DR92" s="365">
        <f t="shared" si="92"/>
        <v>1.2815463242916714E-2</v>
      </c>
      <c r="DS92" s="365">
        <f t="shared" si="92"/>
        <v>1.7055054325935792E-2</v>
      </c>
      <c r="DU92" s="367">
        <v>43070</v>
      </c>
      <c r="DV92">
        <v>130.30000000000001</v>
      </c>
      <c r="DW92">
        <v>129.69999999999999</v>
      </c>
      <c r="DX92" s="369">
        <v>130.9</v>
      </c>
      <c r="DY92" s="367">
        <v>25173</v>
      </c>
      <c r="DZ92" s="368">
        <v>9.1999999999999993</v>
      </c>
      <c r="EJ92" s="248" t="s">
        <v>423</v>
      </c>
      <c r="EK92" s="95">
        <v>152942500</v>
      </c>
      <c r="EL92" s="95">
        <v>1338438200</v>
      </c>
      <c r="EN92" s="248" t="s">
        <v>423</v>
      </c>
      <c r="EO92" s="95">
        <v>5451600</v>
      </c>
      <c r="EP92" s="95">
        <v>50951100</v>
      </c>
      <c r="ER92" s="352">
        <f t="shared" si="83"/>
        <v>28.054607821556974</v>
      </c>
      <c r="ES92" s="352">
        <f t="shared" si="83"/>
        <v>26.269073680450472</v>
      </c>
      <c r="ET92" s="89">
        <f t="shared" si="91"/>
        <v>4.2246212525698601E-2</v>
      </c>
      <c r="EU92" s="89">
        <f t="shared" si="91"/>
        <v>3.075479784661761E-2</v>
      </c>
      <c r="EV92" s="350">
        <v>40695</v>
      </c>
      <c r="EW92" s="352">
        <f t="shared" si="90"/>
        <v>27.633222390871019</v>
      </c>
      <c r="EX92" s="352">
        <f t="shared" si="90"/>
        <v>25.959235375174725</v>
      </c>
      <c r="EY92" s="89">
        <f t="shared" si="93"/>
        <v>2.3214548618794018E-2</v>
      </c>
      <c r="EZ92" s="89">
        <f t="shared" si="93"/>
        <v>2.196433832554967E-2</v>
      </c>
    </row>
    <row r="93" spans="2:156" ht="15" customHeight="1">
      <c r="B93" s="282" t="s">
        <v>551</v>
      </c>
      <c r="C93" s="282"/>
      <c r="F93" s="282" t="s">
        <v>553</v>
      </c>
      <c r="G93" s="282"/>
      <c r="H93" s="282"/>
      <c r="I93" s="282"/>
      <c r="J93" s="255"/>
      <c r="K93" s="255"/>
      <c r="L93" s="255"/>
      <c r="N93" s="282" t="s">
        <v>478</v>
      </c>
      <c r="O93" s="282"/>
      <c r="V93" s="282" t="s">
        <v>761</v>
      </c>
      <c r="W93" s="282"/>
      <c r="X93" s="255"/>
      <c r="Y93" s="255"/>
      <c r="Z93" s="255"/>
      <c r="AA93" s="255"/>
      <c r="AB93" s="255"/>
      <c r="AC93" s="397" t="s">
        <v>553</v>
      </c>
      <c r="AD93" s="255"/>
      <c r="AE93" s="255"/>
      <c r="AF93" s="255"/>
      <c r="AG93" s="255"/>
      <c r="AH93" s="255"/>
      <c r="AI93" s="255"/>
      <c r="AJ93" s="397" t="s">
        <v>553</v>
      </c>
      <c r="AK93" s="255"/>
      <c r="AL93" s="255"/>
      <c r="AM93" s="255"/>
      <c r="AO93" s="397" t="s">
        <v>553</v>
      </c>
      <c r="AP93" s="255"/>
      <c r="AQ93" s="255"/>
      <c r="AR93" s="255"/>
      <c r="AS93" s="397"/>
      <c r="AT93" s="282" t="s">
        <v>553</v>
      </c>
      <c r="AU93" s="282"/>
      <c r="AX93" s="282" t="s">
        <v>553</v>
      </c>
      <c r="AY93" s="282"/>
      <c r="BC93" s="282" t="s">
        <v>762</v>
      </c>
      <c r="BD93" s="282"/>
      <c r="BE93" s="282"/>
      <c r="BF93" s="282"/>
      <c r="BJ93" s="380"/>
      <c r="BV93" s="282" t="s">
        <v>760</v>
      </c>
      <c r="BW93" s="282"/>
      <c r="BX93" s="282"/>
      <c r="BY93" s="282"/>
      <c r="BZ93" s="255"/>
      <c r="CA93" s="255"/>
      <c r="CB93" s="255"/>
      <c r="CD93" s="282"/>
      <c r="CE93" s="282"/>
      <c r="CF93" s="282"/>
      <c r="CG93" s="255"/>
      <c r="CH93" s="255"/>
      <c r="CI93" s="255"/>
      <c r="CJ93" s="255"/>
      <c r="CL93" s="282" t="s">
        <v>758</v>
      </c>
      <c r="CM93" s="282"/>
      <c r="CN93" s="282"/>
      <c r="CO93" s="282" t="s">
        <v>551</v>
      </c>
      <c r="CP93" s="282"/>
      <c r="CW93" s="248" t="s">
        <v>474</v>
      </c>
      <c r="CX93">
        <v>1104</v>
      </c>
      <c r="CY93">
        <v>1105</v>
      </c>
      <c r="CZ93" t="s">
        <v>634</v>
      </c>
      <c r="DH93" s="248" t="s">
        <v>423</v>
      </c>
      <c r="DI93">
        <v>33.28</v>
      </c>
      <c r="DJ93">
        <v>24.28</v>
      </c>
      <c r="DK93">
        <v>26.27</v>
      </c>
      <c r="DM93" s="353">
        <v>40695</v>
      </c>
      <c r="DN93">
        <v>28.05</v>
      </c>
      <c r="DO93">
        <v>26.27</v>
      </c>
      <c r="DP93" s="365">
        <f t="shared" si="89"/>
        <v>4.1976225854383209E-2</v>
      </c>
      <c r="DQ93" s="365">
        <f t="shared" si="89"/>
        <v>3.0600235386426089E-2</v>
      </c>
      <c r="DR93" s="365">
        <f t="shared" si="92"/>
        <v>2.3185640115199746E-2</v>
      </c>
      <c r="DS93" s="365">
        <f t="shared" si="92"/>
        <v>2.1922060036982272E-2</v>
      </c>
      <c r="DU93" s="367">
        <v>43160</v>
      </c>
      <c r="DV93">
        <v>130.9</v>
      </c>
      <c r="DW93">
        <v>130.5</v>
      </c>
      <c r="DX93" s="369">
        <v>131.30000000000001</v>
      </c>
      <c r="DY93" s="367">
        <v>25263</v>
      </c>
      <c r="DZ93" s="368">
        <v>9.4</v>
      </c>
      <c r="EJ93" s="248" t="s">
        <v>428</v>
      </c>
      <c r="EK93" s="95">
        <v>150863800</v>
      </c>
      <c r="EL93" s="95">
        <v>1338322100</v>
      </c>
      <c r="EN93" s="248" t="s">
        <v>428</v>
      </c>
      <c r="EO93" s="95">
        <v>5433800</v>
      </c>
      <c r="EP93" s="95">
        <v>50351800</v>
      </c>
      <c r="ER93" s="352">
        <f t="shared" si="83"/>
        <v>27.763958923773419</v>
      </c>
      <c r="ES93" s="352">
        <f t="shared" si="83"/>
        <v>26.579429136594918</v>
      </c>
      <c r="ET93" s="89">
        <f t="shared" si="91"/>
        <v>2.2019367382064559E-2</v>
      </c>
      <c r="EU93" s="89">
        <f t="shared" si="91"/>
        <v>3.2179339481749558E-2</v>
      </c>
      <c r="EV93" s="350">
        <v>40787</v>
      </c>
      <c r="EW93" s="352">
        <f t="shared" si="90"/>
        <v>27.78220552983586</v>
      </c>
      <c r="EX93" s="352">
        <f t="shared" si="90"/>
        <v>26.16469258937941</v>
      </c>
      <c r="EY93" s="89">
        <f t="shared" si="93"/>
        <v>2.4324704246888151E-2</v>
      </c>
      <c r="EZ93" s="89">
        <f t="shared" si="93"/>
        <v>2.6841872050971105E-2</v>
      </c>
    </row>
    <row r="94" spans="2:156" ht="15" customHeight="1">
      <c r="B94" s="282" t="s">
        <v>553</v>
      </c>
      <c r="C94" s="282"/>
      <c r="F94" s="282" t="s">
        <v>554</v>
      </c>
      <c r="G94" s="282"/>
      <c r="H94" s="282"/>
      <c r="I94" s="282"/>
      <c r="J94" s="255"/>
      <c r="K94" s="255"/>
      <c r="L94" s="255"/>
      <c r="N94" s="282" t="s">
        <v>763</v>
      </c>
      <c r="O94" s="282"/>
      <c r="V94" s="282"/>
      <c r="W94" s="282"/>
      <c r="X94" s="255"/>
      <c r="Y94" s="255"/>
      <c r="Z94" s="255"/>
      <c r="AA94" s="255"/>
      <c r="AB94" s="255"/>
      <c r="AC94" s="397" t="s">
        <v>554</v>
      </c>
      <c r="AD94" s="255"/>
      <c r="AE94" s="255"/>
      <c r="AF94" s="255"/>
      <c r="AG94" s="255"/>
      <c r="AH94" s="255"/>
      <c r="AI94" s="255"/>
      <c r="AJ94" s="397" t="s">
        <v>554</v>
      </c>
      <c r="AK94" s="255"/>
      <c r="AL94" s="255"/>
      <c r="AM94" s="255"/>
      <c r="AO94" s="397" t="s">
        <v>554</v>
      </c>
      <c r="AP94" s="255"/>
      <c r="AQ94" s="255"/>
      <c r="AR94" s="255"/>
      <c r="AS94" s="397"/>
      <c r="AT94" s="282" t="s">
        <v>554</v>
      </c>
      <c r="AU94" s="282"/>
      <c r="AW94" s="255"/>
      <c r="AX94" s="282" t="s">
        <v>554</v>
      </c>
      <c r="AY94" s="282"/>
      <c r="BC94" s="282"/>
      <c r="BD94" s="282"/>
      <c r="BE94" s="282"/>
      <c r="BF94" s="282"/>
      <c r="BJ94" s="380"/>
      <c r="BV94" s="282"/>
      <c r="BW94" s="282"/>
      <c r="BX94" s="282"/>
      <c r="BY94" s="282"/>
      <c r="BZ94" s="255"/>
      <c r="CA94" s="255"/>
      <c r="CB94" s="255"/>
      <c r="CD94" s="282" t="s">
        <v>551</v>
      </c>
      <c r="CE94" s="282"/>
      <c r="CF94" s="282"/>
      <c r="CG94" s="255"/>
      <c r="CH94" s="255"/>
      <c r="CI94" s="255"/>
      <c r="CJ94" s="255"/>
      <c r="CL94" s="282" t="s">
        <v>759</v>
      </c>
      <c r="CM94" s="282"/>
      <c r="CN94" s="282"/>
      <c r="CO94" s="282" t="s">
        <v>553</v>
      </c>
      <c r="CP94" s="282"/>
      <c r="CW94" s="248" t="s">
        <v>477</v>
      </c>
      <c r="CX94">
        <v>1109</v>
      </c>
      <c r="CY94">
        <v>1110</v>
      </c>
      <c r="CZ94">
        <v>1121</v>
      </c>
      <c r="DA94" s="371"/>
      <c r="DH94" s="248" t="s">
        <v>428</v>
      </c>
      <c r="DI94">
        <v>33.590000000000003</v>
      </c>
      <c r="DJ94">
        <v>24.58</v>
      </c>
      <c r="DK94">
        <v>26.58</v>
      </c>
      <c r="DM94" s="353">
        <v>40787</v>
      </c>
      <c r="DN94">
        <v>27.76</v>
      </c>
      <c r="DO94">
        <v>26.58</v>
      </c>
      <c r="DP94" s="365">
        <f t="shared" si="89"/>
        <v>2.1715126978284927E-2</v>
      </c>
      <c r="DQ94" s="365">
        <f t="shared" si="89"/>
        <v>3.223300970873777E-2</v>
      </c>
      <c r="DR94" s="365">
        <f t="shared" si="92"/>
        <v>2.4121835929238333E-2</v>
      </c>
      <c r="DS94" s="365">
        <f t="shared" si="92"/>
        <v>2.684405198820583E-2</v>
      </c>
      <c r="DU94" s="367">
        <v>43252</v>
      </c>
      <c r="DV94">
        <v>131.4</v>
      </c>
      <c r="DW94">
        <v>131</v>
      </c>
      <c r="DX94" s="369">
        <v>131.9</v>
      </c>
      <c r="DY94" s="367">
        <v>25355</v>
      </c>
      <c r="DZ94" s="368">
        <v>9.4</v>
      </c>
      <c r="EJ94" s="248" t="s">
        <v>433</v>
      </c>
      <c r="EK94" s="95">
        <v>152487700</v>
      </c>
      <c r="EL94" s="95">
        <v>1365184000</v>
      </c>
      <c r="EN94" s="248" t="s">
        <v>433</v>
      </c>
      <c r="EO94" s="95">
        <v>5406200</v>
      </c>
      <c r="EP94" s="95">
        <v>51337300</v>
      </c>
      <c r="ER94" s="352">
        <f t="shared" si="83"/>
        <v>28.206078206503644</v>
      </c>
      <c r="ES94" s="352">
        <f t="shared" si="83"/>
        <v>26.592438636235251</v>
      </c>
      <c r="ET94" s="89">
        <f t="shared" si="91"/>
        <v>2.8521504408531184E-2</v>
      </c>
      <c r="EU94" s="89">
        <f t="shared" si="91"/>
        <v>2.8515279230576507E-2</v>
      </c>
      <c r="EV94" s="350">
        <v>40878</v>
      </c>
      <c r="EW94" s="352">
        <f t="shared" si="90"/>
        <v>27.97812241521919</v>
      </c>
      <c r="EX94" s="352">
        <f t="shared" si="90"/>
        <v>26.349400695078632</v>
      </c>
      <c r="EY94" s="89">
        <f t="shared" si="93"/>
        <v>2.9150480550119262E-2</v>
      </c>
      <c r="EZ94" s="89">
        <f t="shared" si="93"/>
        <v>2.9346885570495918E-2</v>
      </c>
    </row>
    <row r="95" spans="2:156" ht="15" customHeight="1">
      <c r="B95" s="282" t="s">
        <v>554</v>
      </c>
      <c r="C95" s="282"/>
      <c r="F95" s="326" t="s">
        <v>555</v>
      </c>
      <c r="G95" s="326"/>
      <c r="H95" s="326"/>
      <c r="I95" s="326"/>
      <c r="J95" s="329"/>
      <c r="K95" s="329"/>
      <c r="L95" s="329"/>
      <c r="N95" s="282"/>
      <c r="O95" s="282"/>
      <c r="V95" s="282" t="s">
        <v>551</v>
      </c>
      <c r="W95" s="282"/>
      <c r="X95" s="255"/>
      <c r="Y95" s="255"/>
      <c r="Z95" s="255"/>
      <c r="AA95" s="255"/>
      <c r="AB95" s="255"/>
      <c r="AC95" s="403" t="s">
        <v>555</v>
      </c>
      <c r="AD95" s="329"/>
      <c r="AE95" s="329"/>
      <c r="AF95" s="329"/>
      <c r="AG95" s="329"/>
      <c r="AH95" s="329"/>
      <c r="AI95" s="329"/>
      <c r="AJ95" s="403" t="s">
        <v>555</v>
      </c>
      <c r="AK95" s="329"/>
      <c r="AL95" s="329"/>
      <c r="AM95" s="329"/>
      <c r="AO95" s="403" t="s">
        <v>555</v>
      </c>
      <c r="AP95" s="329"/>
      <c r="AQ95" s="329"/>
      <c r="AR95" s="329"/>
      <c r="AS95" s="397"/>
      <c r="AT95" s="326" t="s">
        <v>555</v>
      </c>
      <c r="AU95" s="326"/>
      <c r="AX95" s="326" t="s">
        <v>555</v>
      </c>
      <c r="AY95" s="326"/>
      <c r="BC95" s="282" t="s">
        <v>551</v>
      </c>
      <c r="BD95" s="282"/>
      <c r="BE95" s="282"/>
      <c r="BF95" s="282"/>
      <c r="BJ95" s="380"/>
      <c r="BV95" s="282" t="s">
        <v>551</v>
      </c>
      <c r="BW95" s="282"/>
      <c r="BX95" s="282"/>
      <c r="BY95" s="282"/>
      <c r="BZ95" s="255"/>
      <c r="CA95" s="255"/>
      <c r="CB95" s="255"/>
      <c r="CD95" s="282" t="s">
        <v>553</v>
      </c>
      <c r="CE95" s="282"/>
      <c r="CF95" s="282"/>
      <c r="CG95" s="255"/>
      <c r="CH95" s="255"/>
      <c r="CI95" s="255"/>
      <c r="CJ95" s="255"/>
      <c r="CL95" s="282"/>
      <c r="CM95" s="282"/>
      <c r="CN95" s="282"/>
      <c r="CO95" s="282" t="s">
        <v>554</v>
      </c>
      <c r="CP95" s="282"/>
      <c r="CW95" s="248" t="s">
        <v>480</v>
      </c>
      <c r="CX95">
        <v>1113</v>
      </c>
      <c r="CY95">
        <v>1114</v>
      </c>
      <c r="CZ95" t="s">
        <v>634</v>
      </c>
      <c r="DA95" s="255"/>
      <c r="DH95" s="248" t="s">
        <v>433</v>
      </c>
      <c r="DI95">
        <v>33.86</v>
      </c>
      <c r="DJ95">
        <v>24.58</v>
      </c>
      <c r="DK95">
        <v>26.59</v>
      </c>
      <c r="DM95" s="353">
        <v>40878</v>
      </c>
      <c r="DN95">
        <v>28.21</v>
      </c>
      <c r="DO95">
        <v>26.59</v>
      </c>
      <c r="DP95" s="365">
        <f t="shared" si="89"/>
        <v>2.881108679795763E-2</v>
      </c>
      <c r="DQ95" s="365">
        <f t="shared" si="89"/>
        <v>2.8228924980665093E-2</v>
      </c>
      <c r="DR95" s="365">
        <f t="shared" si="92"/>
        <v>2.9155585709931264E-2</v>
      </c>
      <c r="DS95" s="365">
        <f t="shared" si="92"/>
        <v>2.9284638145861352E-2</v>
      </c>
      <c r="DU95" s="367">
        <v>43344</v>
      </c>
      <c r="DV95">
        <v>133.19999999999999</v>
      </c>
      <c r="DW95">
        <v>133.30000000000001</v>
      </c>
      <c r="DX95" s="369">
        <v>133.1</v>
      </c>
      <c r="DY95" s="367">
        <v>25447</v>
      </c>
      <c r="DZ95" s="368">
        <v>9.5</v>
      </c>
      <c r="EJ95" s="248" t="s">
        <v>437</v>
      </c>
      <c r="EK95" s="95">
        <v>156316700</v>
      </c>
      <c r="EL95" s="95">
        <v>1376062600</v>
      </c>
      <c r="EN95" s="248" t="s">
        <v>437</v>
      </c>
      <c r="EO95" s="95">
        <v>5497400</v>
      </c>
      <c r="EP95" s="95">
        <v>51037900</v>
      </c>
      <c r="ER95" s="352">
        <f t="shared" si="83"/>
        <v>28.434660021100886</v>
      </c>
      <c r="ES95" s="352">
        <f t="shared" si="83"/>
        <v>26.961583450729751</v>
      </c>
      <c r="ET95" s="89">
        <f t="shared" si="91"/>
        <v>1.9552627287161117E-2</v>
      </c>
      <c r="EU95" s="89">
        <f t="shared" si="91"/>
        <v>3.8757349145627007E-2</v>
      </c>
      <c r="EV95" s="350">
        <v>40969</v>
      </c>
      <c r="EW95" s="352">
        <f t="shared" si="90"/>
        <v>28.11559502501262</v>
      </c>
      <c r="EX95" s="352">
        <f t="shared" si="90"/>
        <v>26.600831900926021</v>
      </c>
      <c r="EY95" s="89">
        <f t="shared" si="93"/>
        <v>2.7977087281984891E-2</v>
      </c>
      <c r="EZ95" s="89">
        <f t="shared" si="93"/>
        <v>3.254526143939751E-2</v>
      </c>
    </row>
    <row r="96" spans="2:156" ht="15" customHeight="1">
      <c r="B96" s="326" t="s">
        <v>555</v>
      </c>
      <c r="C96" s="326"/>
      <c r="F96" s="282"/>
      <c r="G96" s="282"/>
      <c r="H96" s="282"/>
      <c r="I96" s="282"/>
      <c r="J96" s="255"/>
      <c r="K96" s="255"/>
      <c r="L96" s="255"/>
      <c r="N96" s="282" t="s">
        <v>551</v>
      </c>
      <c r="O96" s="282"/>
      <c r="V96" s="282" t="s">
        <v>553</v>
      </c>
      <c r="W96" s="282"/>
      <c r="X96" s="255"/>
      <c r="Y96" s="255"/>
      <c r="Z96" s="255"/>
      <c r="AA96" s="255"/>
      <c r="AB96" s="255"/>
      <c r="AC96" s="397"/>
      <c r="AD96" s="255"/>
      <c r="AE96" s="255"/>
      <c r="AF96" s="255"/>
      <c r="AG96" s="255"/>
      <c r="AH96" s="255"/>
      <c r="AI96" s="255"/>
      <c r="AJ96" s="255"/>
      <c r="AK96" s="255"/>
      <c r="AL96" s="255"/>
      <c r="AM96" s="255"/>
      <c r="AO96" s="255"/>
      <c r="AP96" s="255"/>
      <c r="AQ96" s="255"/>
      <c r="AR96" s="255"/>
      <c r="AT96" s="282"/>
      <c r="AU96" s="282"/>
      <c r="AX96" s="282"/>
      <c r="AY96" s="282"/>
      <c r="BC96" s="282" t="s">
        <v>553</v>
      </c>
      <c r="BD96" s="282"/>
      <c r="BE96" s="282"/>
      <c r="BF96" s="282"/>
      <c r="BJ96" s="404"/>
      <c r="BV96" s="282" t="s">
        <v>553</v>
      </c>
      <c r="BW96" s="282"/>
      <c r="BX96" s="282"/>
      <c r="BY96" s="282"/>
      <c r="BZ96" s="255"/>
      <c r="CA96" s="255"/>
      <c r="CB96" s="255"/>
      <c r="CD96" s="282" t="s">
        <v>554</v>
      </c>
      <c r="CE96" s="282"/>
      <c r="CF96" s="282"/>
      <c r="CG96" s="255"/>
      <c r="CH96" s="255"/>
      <c r="CI96" s="255"/>
      <c r="CJ96" s="255"/>
      <c r="CL96" s="282" t="s">
        <v>551</v>
      </c>
      <c r="CM96" s="282"/>
      <c r="CN96" s="282"/>
      <c r="CO96" s="326" t="s">
        <v>555</v>
      </c>
      <c r="CP96" s="326"/>
      <c r="CW96" s="248" t="s">
        <v>483</v>
      </c>
      <c r="CX96">
        <v>1118</v>
      </c>
      <c r="CY96">
        <v>1119</v>
      </c>
      <c r="CZ96" t="s">
        <v>634</v>
      </c>
      <c r="DA96" s="255"/>
      <c r="DH96" s="248" t="s">
        <v>437</v>
      </c>
      <c r="DI96">
        <v>34.82</v>
      </c>
      <c r="DJ96">
        <v>24.9</v>
      </c>
      <c r="DK96">
        <v>26.96</v>
      </c>
      <c r="DM96" s="353">
        <v>40969</v>
      </c>
      <c r="DN96">
        <v>28.43</v>
      </c>
      <c r="DO96">
        <v>26.96</v>
      </c>
      <c r="DP96" s="365">
        <f t="shared" si="89"/>
        <v>1.936177841520248E-2</v>
      </c>
      <c r="DQ96" s="365">
        <f t="shared" si="89"/>
        <v>3.8520801232665658E-2</v>
      </c>
      <c r="DR96" s="365">
        <f t="shared" si="92"/>
        <v>2.7928491251343779E-2</v>
      </c>
      <c r="DS96" s="365">
        <f t="shared" si="92"/>
        <v>3.2388716485847846E-2</v>
      </c>
      <c r="DU96" s="367">
        <v>43435</v>
      </c>
      <c r="DV96">
        <v>134</v>
      </c>
      <c r="DW96">
        <v>133.69999999999999</v>
      </c>
      <c r="DX96" s="369">
        <v>134.30000000000001</v>
      </c>
      <c r="DY96" s="367">
        <v>25538</v>
      </c>
      <c r="DZ96" s="368">
        <v>9.5</v>
      </c>
      <c r="EJ96" s="248" t="s">
        <v>442</v>
      </c>
      <c r="EK96" s="95">
        <v>160645200</v>
      </c>
      <c r="EL96" s="95">
        <v>1407980600</v>
      </c>
      <c r="EN96" s="248" t="s">
        <v>442</v>
      </c>
      <c r="EO96" s="95">
        <v>5596300</v>
      </c>
      <c r="EP96" s="95">
        <v>52155900</v>
      </c>
      <c r="ER96" s="352">
        <f t="shared" si="83"/>
        <v>28.705609063130996</v>
      </c>
      <c r="ES96" s="352">
        <f t="shared" si="83"/>
        <v>26.995615069436056</v>
      </c>
      <c r="ET96" s="89">
        <f t="shared" si="91"/>
        <v>2.3204788522254605E-2</v>
      </c>
      <c r="EU96" s="89">
        <f t="shared" si="91"/>
        <v>2.7657670682399438E-2</v>
      </c>
      <c r="EV96" s="350">
        <v>41061</v>
      </c>
      <c r="EW96" s="352">
        <f t="shared" si="90"/>
        <v>28.28129316987102</v>
      </c>
      <c r="EX96" s="352">
        <f t="shared" si="90"/>
        <v>26.783832618534781</v>
      </c>
      <c r="EY96" s="89">
        <f t="shared" si="93"/>
        <v>2.3452595207068549E-2</v>
      </c>
      <c r="EZ96" s="89">
        <f t="shared" si="93"/>
        <v>3.176508211596385E-2</v>
      </c>
    </row>
    <row r="97" spans="2:156" ht="15" customHeight="1">
      <c r="B97" s="282"/>
      <c r="C97" s="282"/>
      <c r="F97" s="282"/>
      <c r="G97" s="282"/>
      <c r="H97" s="282"/>
      <c r="I97" s="282"/>
      <c r="J97" s="255"/>
      <c r="K97" s="255"/>
      <c r="L97" s="255"/>
      <c r="N97" s="282" t="s">
        <v>553</v>
      </c>
      <c r="O97" s="282"/>
      <c r="V97" s="282" t="s">
        <v>554</v>
      </c>
      <c r="W97" s="282"/>
      <c r="X97" s="397"/>
      <c r="Y97" s="397"/>
      <c r="Z97" s="397"/>
      <c r="AA97" s="397"/>
      <c r="AB97" s="397"/>
      <c r="AC97" s="255"/>
      <c r="AD97" s="255"/>
      <c r="AE97" s="255"/>
      <c r="AF97" s="255"/>
      <c r="AG97" s="255"/>
      <c r="AH97" s="255"/>
      <c r="AI97" s="255"/>
      <c r="AJ97" s="282"/>
      <c r="AK97" s="282"/>
      <c r="AL97" s="282"/>
      <c r="AM97" s="282"/>
      <c r="AO97" s="282"/>
      <c r="AP97" s="282"/>
      <c r="AQ97" s="282"/>
      <c r="AR97" s="282"/>
      <c r="AT97" s="282"/>
      <c r="AU97" s="282"/>
      <c r="AX97" s="282"/>
      <c r="AY97" s="282"/>
      <c r="BC97" s="282" t="s">
        <v>554</v>
      </c>
      <c r="BD97" s="282"/>
      <c r="BE97" s="282"/>
      <c r="BF97" s="282"/>
      <c r="BJ97" s="380"/>
      <c r="BV97" s="282" t="s">
        <v>554</v>
      </c>
      <c r="BW97" s="282"/>
      <c r="BX97" s="282"/>
      <c r="BY97" s="282"/>
      <c r="BZ97" s="255"/>
      <c r="CA97" s="255"/>
      <c r="CB97" s="255"/>
      <c r="CD97" s="326" t="s">
        <v>555</v>
      </c>
      <c r="CE97" s="326"/>
      <c r="CF97" s="326"/>
      <c r="CG97" s="329"/>
      <c r="CH97" s="329"/>
      <c r="CI97" s="329"/>
      <c r="CJ97" s="329"/>
      <c r="CL97" s="282" t="s">
        <v>553</v>
      </c>
      <c r="CM97" s="282"/>
      <c r="CN97" s="282"/>
      <c r="CO97" s="282"/>
      <c r="CP97" s="282"/>
      <c r="CW97" s="248" t="s">
        <v>493</v>
      </c>
      <c r="CX97">
        <v>1122</v>
      </c>
      <c r="CY97">
        <v>1123</v>
      </c>
      <c r="CZ97" t="s">
        <v>634</v>
      </c>
      <c r="DA97" s="255"/>
      <c r="DH97" s="248" t="s">
        <v>442</v>
      </c>
      <c r="DI97">
        <v>34.31</v>
      </c>
      <c r="DJ97">
        <v>24.96</v>
      </c>
      <c r="DK97">
        <v>27</v>
      </c>
      <c r="DM97" s="353">
        <v>41061</v>
      </c>
      <c r="DN97">
        <v>28.71</v>
      </c>
      <c r="DO97">
        <v>27</v>
      </c>
      <c r="DP97" s="365">
        <f t="shared" si="89"/>
        <v>2.3529411764705799E-2</v>
      </c>
      <c r="DQ97" s="365">
        <f t="shared" si="89"/>
        <v>2.7788351732013661E-2</v>
      </c>
      <c r="DR97" s="365">
        <f t="shared" si="92"/>
        <v>2.334844233317912E-2</v>
      </c>
      <c r="DS97" s="365">
        <f t="shared" si="92"/>
        <v>3.1683804011731764E-2</v>
      </c>
      <c r="DY97" s="367">
        <v>25628</v>
      </c>
      <c r="DZ97" s="368">
        <v>9.6</v>
      </c>
      <c r="EJ97" s="248" t="s">
        <v>446</v>
      </c>
      <c r="EK97" s="95">
        <v>157379800</v>
      </c>
      <c r="EL97" s="95">
        <v>1400488300</v>
      </c>
      <c r="EN97" s="248" t="s">
        <v>446</v>
      </c>
      <c r="EO97" s="95">
        <v>5572600</v>
      </c>
      <c r="EP97" s="95">
        <v>51286400</v>
      </c>
      <c r="ER97" s="352">
        <f t="shared" si="83"/>
        <v>28.241718407924488</v>
      </c>
      <c r="ES97" s="352">
        <f t="shared" si="83"/>
        <v>27.307206198914333</v>
      </c>
      <c r="ET97" s="89">
        <f t="shared" si="91"/>
        <v>1.7207901994912511E-2</v>
      </c>
      <c r="EU97" s="89">
        <f t="shared" si="91"/>
        <v>2.7381214945561005E-2</v>
      </c>
      <c r="EV97" s="350">
        <v>41153</v>
      </c>
      <c r="EW97" s="352">
        <f t="shared" si="90"/>
        <v>28.398658964775173</v>
      </c>
      <c r="EX97" s="352">
        <f t="shared" si="90"/>
        <v>26.964254740243177</v>
      </c>
      <c r="EY97" s="89">
        <f t="shared" si="93"/>
        <v>2.2188786785746428E-2</v>
      </c>
      <c r="EZ97" s="89">
        <f t="shared" si="93"/>
        <v>3.055882075176064E-2</v>
      </c>
    </row>
    <row r="98" spans="2:156" ht="15" customHeight="1">
      <c r="B98" s="282"/>
      <c r="C98" s="282"/>
      <c r="N98" s="282" t="s">
        <v>554</v>
      </c>
      <c r="O98" s="282"/>
      <c r="V98" s="326" t="s">
        <v>555</v>
      </c>
      <c r="W98" s="326"/>
      <c r="X98" s="403"/>
      <c r="Y98" s="403"/>
      <c r="Z98" s="403"/>
      <c r="AA98" s="403"/>
      <c r="AB98" s="403"/>
      <c r="AT98" s="405"/>
      <c r="AU98" s="405"/>
      <c r="BC98" s="326" t="s">
        <v>555</v>
      </c>
      <c r="BD98" s="326"/>
      <c r="BE98" s="326"/>
      <c r="BF98" s="326"/>
      <c r="BJ98" s="380"/>
      <c r="BV98" s="326" t="s">
        <v>555</v>
      </c>
      <c r="BW98" s="326"/>
      <c r="BX98" s="326"/>
      <c r="BY98" s="326"/>
      <c r="BZ98" s="329"/>
      <c r="CA98" s="329"/>
      <c r="CB98" s="329"/>
      <c r="CD98" s="282"/>
      <c r="CE98" s="282"/>
      <c r="CF98" s="282"/>
      <c r="CG98" s="255"/>
      <c r="CH98" s="255"/>
      <c r="CI98" s="255"/>
      <c r="CJ98" s="255"/>
      <c r="CL98" s="282" t="s">
        <v>554</v>
      </c>
      <c r="CM98" s="282"/>
      <c r="CN98" s="282"/>
      <c r="CO98" s="282"/>
      <c r="CP98" s="282"/>
      <c r="CW98" s="248" t="s">
        <v>499</v>
      </c>
      <c r="CX98">
        <v>1126</v>
      </c>
      <c r="CY98">
        <v>1127</v>
      </c>
      <c r="CZ98" t="s">
        <v>634</v>
      </c>
      <c r="DA98" s="371"/>
      <c r="DH98" s="248" t="s">
        <v>446</v>
      </c>
      <c r="DI98">
        <v>34.47</v>
      </c>
      <c r="DJ98">
        <v>25.31</v>
      </c>
      <c r="DK98">
        <v>27.31</v>
      </c>
      <c r="DM98" s="353">
        <v>41153</v>
      </c>
      <c r="DN98">
        <v>28.24</v>
      </c>
      <c r="DO98">
        <v>27.31</v>
      </c>
      <c r="DP98" s="365">
        <f t="shared" si="89"/>
        <v>1.7291066282420609E-2</v>
      </c>
      <c r="DQ98" s="365">
        <f t="shared" si="89"/>
        <v>2.7464258841233935E-2</v>
      </c>
      <c r="DR98" s="365">
        <f t="shared" si="92"/>
        <v>2.2238855747701347E-2</v>
      </c>
      <c r="DS98" s="365">
        <f t="shared" si="92"/>
        <v>3.049018073001708E-2</v>
      </c>
      <c r="DY98" s="367">
        <v>25720</v>
      </c>
      <c r="DZ98" s="368">
        <v>9.6999999999999993</v>
      </c>
      <c r="EJ98" s="248" t="s">
        <v>451</v>
      </c>
      <c r="EK98" s="95">
        <v>160010000</v>
      </c>
      <c r="EL98" s="95">
        <v>1427089100</v>
      </c>
      <c r="EN98" s="248" t="s">
        <v>451</v>
      </c>
      <c r="EO98" s="95">
        <v>5627300</v>
      </c>
      <c r="EP98" s="95">
        <v>52277000</v>
      </c>
      <c r="ER98" s="352">
        <f t="shared" si="83"/>
        <v>28.434595632008246</v>
      </c>
      <c r="ES98" s="352">
        <f t="shared" si="83"/>
        <v>27.298603592402014</v>
      </c>
      <c r="ET98" s="89">
        <f t="shared" si="91"/>
        <v>8.1017085690384683E-3</v>
      </c>
      <c r="EU98" s="89">
        <f t="shared" si="91"/>
        <v>2.6555103344472197E-2</v>
      </c>
      <c r="EV98" s="350">
        <v>41244</v>
      </c>
      <c r="EW98" s="352">
        <f t="shared" si="90"/>
        <v>28.454430868051819</v>
      </c>
      <c r="EX98" s="352">
        <f t="shared" si="90"/>
        <v>27.141113344541328</v>
      </c>
      <c r="EY98" s="89">
        <f t="shared" si="93"/>
        <v>1.7024317992601734E-2</v>
      </c>
      <c r="EZ98" s="89">
        <f t="shared" si="93"/>
        <v>3.0046704235309862E-2</v>
      </c>
    </row>
    <row r="99" spans="2:156" ht="15" customHeight="1">
      <c r="N99" s="326" t="s">
        <v>555</v>
      </c>
      <c r="O99" s="326"/>
      <c r="V99" s="282"/>
      <c r="W99" s="282"/>
      <c r="X99" s="255"/>
      <c r="Y99" s="255"/>
      <c r="Z99" s="255"/>
      <c r="AA99" s="255"/>
      <c r="AB99" s="255"/>
      <c r="AC99" s="255"/>
      <c r="AF99" s="255"/>
      <c r="AG99" s="255"/>
      <c r="AH99" s="255"/>
      <c r="AK99" s="255"/>
      <c r="AT99" s="255"/>
      <c r="AU99" s="255"/>
      <c r="BC99" s="282"/>
      <c r="BD99" s="282"/>
      <c r="BE99" s="282"/>
      <c r="BF99" s="282"/>
      <c r="BV99" s="282"/>
      <c r="BW99" s="282"/>
      <c r="BX99" s="282"/>
      <c r="BY99" s="282"/>
      <c r="BZ99" s="255"/>
      <c r="CA99" s="255"/>
      <c r="CB99" s="255"/>
      <c r="CD99" s="282"/>
      <c r="CE99" s="282"/>
      <c r="CF99" s="282"/>
      <c r="CG99" s="255"/>
      <c r="CH99" s="255"/>
      <c r="CI99" s="255"/>
      <c r="CJ99" s="255"/>
      <c r="CL99" s="326" t="s">
        <v>555</v>
      </c>
      <c r="CM99" s="326"/>
      <c r="CN99" s="326"/>
      <c r="CO99" s="400"/>
      <c r="CP99" s="400"/>
      <c r="CW99" s="248" t="s">
        <v>502</v>
      </c>
      <c r="CX99">
        <v>1132</v>
      </c>
      <c r="CY99">
        <v>1132</v>
      </c>
      <c r="CZ99" t="s">
        <v>634</v>
      </c>
      <c r="DA99" s="255"/>
      <c r="DH99" s="248" t="s">
        <v>451</v>
      </c>
      <c r="DI99">
        <v>34.770000000000003</v>
      </c>
      <c r="DJ99">
        <v>25.23</v>
      </c>
      <c r="DK99">
        <v>27.3</v>
      </c>
      <c r="DM99" s="353">
        <v>41244</v>
      </c>
      <c r="DN99">
        <v>28.43</v>
      </c>
      <c r="DO99">
        <v>27.3</v>
      </c>
      <c r="DP99" s="365">
        <f t="shared" si="89"/>
        <v>7.7986529599431975E-3</v>
      </c>
      <c r="DQ99" s="365">
        <f t="shared" si="89"/>
        <v>2.6701767581797764E-2</v>
      </c>
      <c r="DR99" s="365">
        <f t="shared" si="92"/>
        <v>1.6978845490520644E-2</v>
      </c>
      <c r="DS99" s="365">
        <f t="shared" si="92"/>
        <v>3.0107338464090638E-2</v>
      </c>
      <c r="DY99" s="367">
        <v>25812</v>
      </c>
      <c r="DZ99" s="368">
        <v>9.8000000000000007</v>
      </c>
      <c r="EJ99" s="248" t="s">
        <v>455</v>
      </c>
      <c r="EK99" s="95">
        <v>159906100</v>
      </c>
      <c r="EL99" s="95">
        <v>1435876800</v>
      </c>
      <c r="EN99" s="248" t="s">
        <v>455</v>
      </c>
      <c r="EO99" s="95">
        <v>5636700</v>
      </c>
      <c r="EP99" s="95">
        <v>52180600</v>
      </c>
      <c r="ER99" s="352">
        <f t="shared" si="83"/>
        <v>28.368744123334576</v>
      </c>
      <c r="ES99" s="352">
        <f t="shared" si="83"/>
        <v>27.517445180775997</v>
      </c>
      <c r="ET99" s="89">
        <f t="shared" si="91"/>
        <v>-2.3181531876025341E-3</v>
      </c>
      <c r="EU99" s="89">
        <f t="shared" si="91"/>
        <v>2.0616805799334559E-2</v>
      </c>
      <c r="EV99" s="350">
        <v>41334</v>
      </c>
      <c r="EW99" s="352">
        <f t="shared" si="90"/>
        <v>28.437745454221254</v>
      </c>
      <c r="EX99" s="352">
        <f t="shared" si="90"/>
        <v>27.27964178914949</v>
      </c>
      <c r="EY99" s="89">
        <f t="shared" si="93"/>
        <v>1.145806905107416E-2</v>
      </c>
      <c r="EZ99" s="89">
        <f t="shared" si="93"/>
        <v>2.5518370656665068E-2</v>
      </c>
    </row>
    <row r="100" spans="2:156" ht="15" customHeight="1">
      <c r="N100" s="282"/>
      <c r="O100" s="282"/>
      <c r="V100" s="282"/>
      <c r="W100" s="282"/>
      <c r="X100" s="255"/>
      <c r="Y100" s="255"/>
      <c r="Z100" s="255"/>
      <c r="AA100" s="255"/>
      <c r="AB100" s="255"/>
      <c r="AT100" s="255"/>
      <c r="AU100" s="255"/>
      <c r="BC100" s="282"/>
      <c r="BD100" s="282"/>
      <c r="BE100" s="282"/>
      <c r="BF100" s="282"/>
      <c r="BV100" s="282"/>
      <c r="BW100" s="282"/>
      <c r="BX100" s="282"/>
      <c r="BY100" s="282"/>
      <c r="BZ100" s="255"/>
      <c r="CA100" s="255"/>
      <c r="CB100" s="255"/>
      <c r="CL100" s="282"/>
      <c r="CM100" s="282"/>
      <c r="CN100" s="282"/>
      <c r="CO100" s="282"/>
      <c r="CP100" s="282"/>
      <c r="CW100" s="248" t="s">
        <v>505</v>
      </c>
      <c r="CX100">
        <v>1136</v>
      </c>
      <c r="CY100">
        <v>1137</v>
      </c>
      <c r="CZ100" t="s">
        <v>634</v>
      </c>
      <c r="DA100" s="255"/>
      <c r="DH100" s="248" t="s">
        <v>455</v>
      </c>
      <c r="DI100">
        <v>35.29</v>
      </c>
      <c r="DJ100">
        <v>25.49</v>
      </c>
      <c r="DK100">
        <v>27.52</v>
      </c>
      <c r="DM100" s="353">
        <v>41334</v>
      </c>
      <c r="DN100">
        <v>28.37</v>
      </c>
      <c r="DO100">
        <v>27.52</v>
      </c>
      <c r="DP100" s="365">
        <f t="shared" si="89"/>
        <v>-2.110446711220515E-3</v>
      </c>
      <c r="DQ100" s="365">
        <f t="shared" si="89"/>
        <v>2.0771513353115667E-2</v>
      </c>
      <c r="DR100" s="365">
        <f t="shared" si="92"/>
        <v>1.1580506580675554E-2</v>
      </c>
      <c r="DS100" s="365">
        <f t="shared" si="92"/>
        <v>2.5677471551958098E-2</v>
      </c>
      <c r="DY100" s="367">
        <v>25903</v>
      </c>
      <c r="DZ100" s="368">
        <v>10</v>
      </c>
      <c r="EJ100" s="248" t="s">
        <v>458</v>
      </c>
      <c r="EK100" s="95">
        <v>163872800</v>
      </c>
      <c r="EL100" s="95">
        <v>1462615600</v>
      </c>
      <c r="EN100" s="248" t="s">
        <v>458</v>
      </c>
      <c r="EO100" s="95">
        <v>5750100</v>
      </c>
      <c r="EP100" s="95">
        <v>53099000</v>
      </c>
      <c r="ER100" s="352">
        <f t="shared" si="83"/>
        <v>28.499121754404271</v>
      </c>
      <c r="ES100" s="352">
        <f t="shared" si="83"/>
        <v>27.545068645360551</v>
      </c>
      <c r="ET100" s="89">
        <f t="shared" si="91"/>
        <v>-7.1932739093815146E-3</v>
      </c>
      <c r="EU100" s="89">
        <f t="shared" si="91"/>
        <v>2.0353437938392283E-2</v>
      </c>
      <c r="EV100" s="350">
        <v>41426</v>
      </c>
      <c r="EW100" s="352">
        <f t="shared" si="90"/>
        <v>28.387002085297986</v>
      </c>
      <c r="EX100" s="352">
        <f t="shared" si="90"/>
        <v>27.418059499241057</v>
      </c>
      <c r="EY100" s="89">
        <f t="shared" si="93"/>
        <v>3.7377680996419915E-3</v>
      </c>
      <c r="EZ100" s="89">
        <f t="shared" si="93"/>
        <v>2.3679467003067556E-2</v>
      </c>
    </row>
    <row r="101" spans="2:156" ht="15" customHeight="1">
      <c r="N101" s="282"/>
      <c r="O101" s="282"/>
      <c r="BV101" s="282"/>
      <c r="BW101" s="282"/>
      <c r="BX101" s="282"/>
      <c r="BY101" s="282"/>
      <c r="CL101" s="282"/>
      <c r="CM101" s="282"/>
      <c r="CN101" s="282"/>
      <c r="CO101" s="282"/>
      <c r="CP101" s="282"/>
      <c r="CW101" s="248" t="s">
        <v>508</v>
      </c>
      <c r="CX101">
        <v>1140</v>
      </c>
      <c r="CY101">
        <v>1141</v>
      </c>
      <c r="CZ101" t="s">
        <v>634</v>
      </c>
      <c r="DA101" s="255"/>
      <c r="DH101" s="248" t="s">
        <v>458</v>
      </c>
      <c r="DI101">
        <v>34.89</v>
      </c>
      <c r="DJ101">
        <v>25.53</v>
      </c>
      <c r="DK101">
        <v>27.55</v>
      </c>
      <c r="DM101" s="353">
        <v>41426</v>
      </c>
      <c r="DN101">
        <v>28.5</v>
      </c>
      <c r="DO101">
        <v>27.55</v>
      </c>
      <c r="DP101" s="365">
        <f t="shared" si="89"/>
        <v>-7.3145245559038674E-3</v>
      </c>
      <c r="DQ101" s="365">
        <f t="shared" si="89"/>
        <v>2.0370370370370372E-2</v>
      </c>
      <c r="DR101" s="365">
        <f t="shared" si="92"/>
        <v>3.8718748990655971E-3</v>
      </c>
      <c r="DS101" s="365">
        <f t="shared" si="92"/>
        <v>2.3821754851560684E-2</v>
      </c>
      <c r="DY101" s="367">
        <v>25993</v>
      </c>
      <c r="DZ101" s="368">
        <v>10.1</v>
      </c>
      <c r="EJ101" s="248" t="s">
        <v>461</v>
      </c>
      <c r="EK101" s="95">
        <v>167360700</v>
      </c>
      <c r="EL101" s="95">
        <v>1475127600</v>
      </c>
      <c r="EN101" s="248" t="s">
        <v>461</v>
      </c>
      <c r="EO101" s="95">
        <v>5860300</v>
      </c>
      <c r="EP101" s="95">
        <v>52701400</v>
      </c>
      <c r="ER101" s="352">
        <f t="shared" si="83"/>
        <v>28.558384383052061</v>
      </c>
      <c r="ES101" s="352">
        <f t="shared" si="83"/>
        <v>27.990292477998686</v>
      </c>
      <c r="ET101" s="89">
        <f t="shared" si="91"/>
        <v>1.1212702093889471E-2</v>
      </c>
      <c r="EU101" s="89">
        <f t="shared" si="91"/>
        <v>2.5014872415308087E-2</v>
      </c>
      <c r="EV101" s="350">
        <v>41518</v>
      </c>
      <c r="EW101" s="352">
        <f t="shared" si="90"/>
        <v>28.466302941279334</v>
      </c>
      <c r="EX101" s="352">
        <f t="shared" si="90"/>
        <v>27.58852980623805</v>
      </c>
      <c r="EY101" s="89">
        <f t="shared" si="93"/>
        <v>2.3819426328568483E-3</v>
      </c>
      <c r="EZ101" s="89">
        <f t="shared" si="93"/>
        <v>2.3151949572081554E-2</v>
      </c>
    </row>
    <row r="102" spans="2:156" ht="15" customHeight="1">
      <c r="N102" s="255"/>
      <c r="O102" s="255"/>
      <c r="CO102" s="399"/>
      <c r="CP102" s="399"/>
      <c r="CW102" s="248" t="s">
        <v>511</v>
      </c>
      <c r="CX102">
        <v>1145</v>
      </c>
      <c r="CY102">
        <v>1146</v>
      </c>
      <c r="CZ102" t="s">
        <v>634</v>
      </c>
      <c r="DA102" s="255"/>
      <c r="DH102" s="248" t="s">
        <v>461</v>
      </c>
      <c r="DI102">
        <v>35.39</v>
      </c>
      <c r="DJ102">
        <v>25.93</v>
      </c>
      <c r="DK102">
        <v>27.99</v>
      </c>
      <c r="DM102" s="353">
        <v>41518</v>
      </c>
      <c r="DN102">
        <v>28.56</v>
      </c>
      <c r="DO102">
        <v>27.99</v>
      </c>
      <c r="DP102" s="365">
        <f t="shared" si="89"/>
        <v>1.1331444759206777E-2</v>
      </c>
      <c r="DQ102" s="365">
        <f t="shared" si="89"/>
        <v>2.4899304284144996E-2</v>
      </c>
      <c r="DR102" s="365">
        <f t="shared" si="92"/>
        <v>2.3983819763293557E-3</v>
      </c>
      <c r="DS102" s="365">
        <f t="shared" si="92"/>
        <v>2.318219045432901E-2</v>
      </c>
      <c r="DY102" s="367">
        <v>26085</v>
      </c>
      <c r="DZ102" s="368">
        <v>10.199999999999999</v>
      </c>
      <c r="EJ102" s="248" t="s">
        <v>464</v>
      </c>
      <c r="EK102" s="95">
        <v>172557200</v>
      </c>
      <c r="EL102" s="95">
        <v>1501289200</v>
      </c>
      <c r="EN102" s="248" t="s">
        <v>464</v>
      </c>
      <c r="EO102" s="95">
        <v>5934700</v>
      </c>
      <c r="EP102" s="95">
        <v>53551600</v>
      </c>
      <c r="ER102" s="352">
        <f t="shared" si="83"/>
        <v>29.075976881729488</v>
      </c>
      <c r="ES102" s="352">
        <f t="shared" si="83"/>
        <v>28.034441547964953</v>
      </c>
      <c r="ET102" s="89">
        <f t="shared" si="91"/>
        <v>2.2556369642874552E-2</v>
      </c>
      <c r="EU102" s="89">
        <f t="shared" si="91"/>
        <v>2.695515003440474E-2</v>
      </c>
      <c r="EV102" s="350">
        <v>41609</v>
      </c>
      <c r="EW102" s="352">
        <f t="shared" si="90"/>
        <v>28.630080494180781</v>
      </c>
      <c r="EX102" s="352">
        <f t="shared" si="90"/>
        <v>27.773067602818667</v>
      </c>
      <c r="EY102" s="89">
        <f t="shared" si="93"/>
        <v>6.1730149143899293E-3</v>
      </c>
      <c r="EZ102" s="89">
        <f t="shared" si="93"/>
        <v>2.3284021191578796E-2</v>
      </c>
    </row>
    <row r="103" spans="2:156" ht="15" customHeight="1">
      <c r="N103" s="255"/>
      <c r="O103" s="255"/>
      <c r="CO103" s="255"/>
      <c r="CP103" s="255"/>
      <c r="CW103" s="248" t="s">
        <v>514</v>
      </c>
      <c r="CX103">
        <v>1152</v>
      </c>
      <c r="CY103">
        <v>1153</v>
      </c>
      <c r="CZ103" t="s">
        <v>634</v>
      </c>
      <c r="DA103" s="255"/>
      <c r="DH103" s="248" t="s">
        <v>464</v>
      </c>
      <c r="DI103">
        <v>35.33</v>
      </c>
      <c r="DJ103">
        <v>26</v>
      </c>
      <c r="DK103">
        <v>28.03</v>
      </c>
      <c r="DM103" s="353">
        <v>41609</v>
      </c>
      <c r="DN103">
        <v>29.08</v>
      </c>
      <c r="DO103">
        <v>28.03</v>
      </c>
      <c r="DP103" s="365">
        <f t="shared" si="89"/>
        <v>2.2863172704889134E-2</v>
      </c>
      <c r="DQ103" s="365">
        <f t="shared" si="89"/>
        <v>2.6739926739926645E-2</v>
      </c>
      <c r="DR103" s="365">
        <f t="shared" si="92"/>
        <v>6.1235145634772614E-3</v>
      </c>
      <c r="DS103" s="365">
        <f t="shared" si="92"/>
        <v>2.31916974085562E-2</v>
      </c>
      <c r="DY103" s="367">
        <v>26177</v>
      </c>
      <c r="DZ103" s="368">
        <v>10.5</v>
      </c>
      <c r="EJ103" s="248" t="s">
        <v>466</v>
      </c>
      <c r="EK103" s="95">
        <v>177347700</v>
      </c>
      <c r="EL103" s="95">
        <v>1527566400</v>
      </c>
      <c r="EN103" s="248" t="s">
        <v>466</v>
      </c>
      <c r="EO103" s="95">
        <v>6025400</v>
      </c>
      <c r="EP103" s="95">
        <v>54166000</v>
      </c>
      <c r="ER103" s="352">
        <f t="shared" si="83"/>
        <v>29.433348823314635</v>
      </c>
      <c r="ES103" s="352">
        <f t="shared" si="83"/>
        <v>28.201572942436215</v>
      </c>
      <c r="ET103" s="89">
        <f t="shared" si="91"/>
        <v>3.7527382084721062E-2</v>
      </c>
      <c r="EU103" s="89">
        <f t="shared" si="91"/>
        <v>2.4861601691793522E-2</v>
      </c>
      <c r="EV103" s="350">
        <v>41699</v>
      </c>
      <c r="EW103" s="352">
        <f t="shared" ref="EW103:EX114" si="94">SUM(EK100:EK103)/SUM(EO100:EO103)</f>
        <v>28.897919008930653</v>
      </c>
      <c r="EX103" s="352">
        <f t="shared" si="94"/>
        <v>27.944242639964781</v>
      </c>
      <c r="EY103" s="89">
        <f t="shared" si="93"/>
        <v>1.6181787527783431E-2</v>
      </c>
      <c r="EZ103" s="89">
        <f t="shared" si="93"/>
        <v>2.4362521177959007E-2</v>
      </c>
    </row>
    <row r="104" spans="2:156" ht="15" customHeight="1">
      <c r="CO104" s="255"/>
      <c r="CP104" s="255"/>
      <c r="CW104" s="248" t="s">
        <v>517</v>
      </c>
      <c r="CX104">
        <v>1157</v>
      </c>
      <c r="CY104">
        <v>1158</v>
      </c>
      <c r="CZ104" t="s">
        <v>634</v>
      </c>
      <c r="DA104" s="255"/>
      <c r="DH104" s="248" t="s">
        <v>466</v>
      </c>
      <c r="DI104">
        <v>35.909999999999997</v>
      </c>
      <c r="DJ104">
        <v>26.21</v>
      </c>
      <c r="DK104">
        <v>28.2</v>
      </c>
      <c r="DM104" s="353">
        <v>41699</v>
      </c>
      <c r="DN104">
        <v>29.43</v>
      </c>
      <c r="DO104">
        <v>28.2</v>
      </c>
      <c r="DP104" s="365">
        <f t="shared" si="89"/>
        <v>3.7363412054987721E-2</v>
      </c>
      <c r="DQ104" s="365">
        <f t="shared" si="89"/>
        <v>2.4709302325581328E-2</v>
      </c>
      <c r="DR104" s="365">
        <f t="shared" si="92"/>
        <v>1.5929126766692114E-2</v>
      </c>
      <c r="DS104" s="365">
        <f t="shared" si="92"/>
        <v>2.4177054417144017E-2</v>
      </c>
      <c r="DY104" s="367">
        <v>26268</v>
      </c>
      <c r="DZ104" s="368">
        <v>10.7</v>
      </c>
      <c r="EJ104" s="248" t="s">
        <v>469</v>
      </c>
      <c r="EK104" s="95">
        <v>176575900</v>
      </c>
      <c r="EL104" s="95">
        <v>1554173800</v>
      </c>
      <c r="EN104" s="248" t="s">
        <v>469</v>
      </c>
      <c r="EO104" s="95">
        <v>6069300</v>
      </c>
      <c r="EP104" s="95">
        <v>55021700</v>
      </c>
      <c r="ER104" s="352">
        <f t="shared" si="83"/>
        <v>29.093289176676059</v>
      </c>
      <c r="ES104" s="352">
        <f t="shared" si="83"/>
        <v>28.246560902334895</v>
      </c>
      <c r="ET104" s="89">
        <f t="shared" ref="ET104:EU114" si="95">ER104/ER100-1</f>
        <v>2.0848622192365163E-2</v>
      </c>
      <c r="EU104" s="89">
        <f t="shared" si="95"/>
        <v>2.5467072382573175E-2</v>
      </c>
      <c r="EV104" s="350">
        <v>41791</v>
      </c>
      <c r="EW104" s="352">
        <f t="shared" si="94"/>
        <v>29.043541777418721</v>
      </c>
      <c r="EX104" s="352">
        <f t="shared" si="94"/>
        <v>28.119835295744956</v>
      </c>
      <c r="EY104" s="89">
        <f t="shared" si="93"/>
        <v>2.3128179937703441E-2</v>
      </c>
      <c r="EZ104" s="89">
        <f t="shared" si="93"/>
        <v>2.5595385279666649E-2</v>
      </c>
    </row>
    <row r="105" spans="2:156" ht="15" customHeight="1">
      <c r="CW105" s="248" t="s">
        <v>520</v>
      </c>
      <c r="CX105">
        <v>1161</v>
      </c>
      <c r="CY105">
        <v>1162</v>
      </c>
      <c r="CZ105" t="s">
        <v>634</v>
      </c>
      <c r="DA105" s="255"/>
      <c r="DH105" s="248" t="s">
        <v>469</v>
      </c>
      <c r="DI105">
        <v>35.35</v>
      </c>
      <c r="DJ105">
        <v>26.31</v>
      </c>
      <c r="DK105">
        <v>28.25</v>
      </c>
      <c r="DM105" s="353">
        <v>41791</v>
      </c>
      <c r="DN105">
        <v>29.09</v>
      </c>
      <c r="DO105">
        <v>28.25</v>
      </c>
      <c r="DP105" s="365">
        <f t="shared" si="89"/>
        <v>2.0701754385964888E-2</v>
      </c>
      <c r="DQ105" s="365">
        <f t="shared" si="89"/>
        <v>2.5408348457350183E-2</v>
      </c>
      <c r="DR105" s="365">
        <f t="shared" si="92"/>
        <v>2.3022558070800114E-2</v>
      </c>
      <c r="DS105" s="365">
        <f t="shared" si="92"/>
        <v>2.5438913753230263E-2</v>
      </c>
      <c r="DY105" s="367">
        <v>26359</v>
      </c>
      <c r="DZ105" s="368">
        <v>10.8</v>
      </c>
      <c r="EJ105" s="248" t="s">
        <v>470</v>
      </c>
      <c r="EK105" s="95">
        <v>178842900</v>
      </c>
      <c r="EL105" s="95">
        <v>1549430000</v>
      </c>
      <c r="EN105" s="248" t="s">
        <v>470</v>
      </c>
      <c r="EO105" s="95">
        <v>6093700</v>
      </c>
      <c r="EP105" s="95">
        <v>54067500</v>
      </c>
      <c r="ER105" s="352">
        <f t="shared" si="83"/>
        <v>29.348819272363261</v>
      </c>
      <c r="ES105" s="352">
        <f t="shared" si="83"/>
        <v>28.657326490035604</v>
      </c>
      <c r="ET105" s="89">
        <f t="shared" si="95"/>
        <v>2.7677857357375046E-2</v>
      </c>
      <c r="EU105" s="89">
        <f t="shared" si="95"/>
        <v>2.3830905395548552E-2</v>
      </c>
      <c r="EV105" s="350">
        <v>41883</v>
      </c>
      <c r="EW105" s="352">
        <f t="shared" si="94"/>
        <v>29.238518266723595</v>
      </c>
      <c r="EX105" s="352">
        <f t="shared" si="94"/>
        <v>28.285364665683918</v>
      </c>
      <c r="EY105" s="89">
        <f t="shared" si="93"/>
        <v>2.7127348677388641E-2</v>
      </c>
      <c r="EZ105" s="89">
        <f t="shared" si="93"/>
        <v>2.5258136781478813E-2</v>
      </c>
    </row>
    <row r="106" spans="2:156" ht="15" customHeight="1">
      <c r="CW106" s="248" t="s">
        <v>523</v>
      </c>
      <c r="CX106">
        <v>1167</v>
      </c>
      <c r="CY106">
        <v>1168</v>
      </c>
      <c r="CZ106" t="s">
        <v>634</v>
      </c>
      <c r="DA106" s="255"/>
      <c r="DH106" s="248" t="s">
        <v>470</v>
      </c>
      <c r="DI106">
        <v>35.75</v>
      </c>
      <c r="DJ106">
        <v>26.71</v>
      </c>
      <c r="DK106">
        <v>28.66</v>
      </c>
      <c r="DM106" s="353">
        <v>41883</v>
      </c>
      <c r="DN106">
        <v>29.35</v>
      </c>
      <c r="DO106">
        <v>28.66</v>
      </c>
      <c r="DP106" s="365">
        <f t="shared" si="89"/>
        <v>2.7661064425770432E-2</v>
      </c>
      <c r="DQ106" s="365">
        <f t="shared" si="89"/>
        <v>2.3937120400143064E-2</v>
      </c>
      <c r="DR106" s="365">
        <f t="shared" si="92"/>
        <v>2.7127384315636993E-2</v>
      </c>
      <c r="DS106" s="365">
        <f t="shared" si="92"/>
        <v>2.5198156358811952E-2</v>
      </c>
      <c r="DY106" s="367">
        <v>26451</v>
      </c>
      <c r="DZ106" s="368">
        <v>10.9</v>
      </c>
      <c r="EJ106" s="248" t="s">
        <v>472</v>
      </c>
      <c r="EK106" s="95">
        <v>182170300</v>
      </c>
      <c r="EL106" s="95">
        <v>1587130200</v>
      </c>
      <c r="EN106" s="248" t="s">
        <v>472</v>
      </c>
      <c r="EO106" s="95">
        <v>6108700</v>
      </c>
      <c r="EP106" s="95">
        <v>55135000</v>
      </c>
      <c r="ER106" s="352">
        <f t="shared" si="83"/>
        <v>29.821451372632474</v>
      </c>
      <c r="ES106" s="352">
        <f t="shared" si="83"/>
        <v>28.786255554547928</v>
      </c>
      <c r="ET106" s="89">
        <f t="shared" si="95"/>
        <v>2.5638845908266594E-2</v>
      </c>
      <c r="EU106" s="89">
        <f t="shared" si="95"/>
        <v>2.6817513211264687E-2</v>
      </c>
      <c r="EV106" s="350">
        <v>41974</v>
      </c>
      <c r="EW106" s="352">
        <f t="shared" si="94"/>
        <v>29.424779088862458</v>
      </c>
      <c r="EX106" s="352">
        <f t="shared" si="94"/>
        <v>28.473349078850607</v>
      </c>
      <c r="EY106" s="89">
        <f t="shared" si="93"/>
        <v>2.7757469799751577E-2</v>
      </c>
      <c r="EZ106" s="89">
        <f t="shared" si="93"/>
        <v>2.5214408651094367E-2</v>
      </c>
    </row>
    <row r="107" spans="2:156" ht="15" customHeight="1">
      <c r="CW107" s="248" t="s">
        <v>526</v>
      </c>
      <c r="CX107">
        <v>1173</v>
      </c>
      <c r="CY107">
        <v>1174</v>
      </c>
      <c r="CZ107" t="s">
        <v>634</v>
      </c>
      <c r="DA107" s="255"/>
      <c r="DH107" s="248" t="s">
        <v>472</v>
      </c>
      <c r="DI107">
        <v>36.07</v>
      </c>
      <c r="DJ107">
        <v>26.79</v>
      </c>
      <c r="DK107">
        <v>28.79</v>
      </c>
      <c r="DM107" s="353">
        <v>41974</v>
      </c>
      <c r="DN107">
        <v>29.82</v>
      </c>
      <c r="DO107">
        <v>28.79</v>
      </c>
      <c r="DP107" s="365">
        <f t="shared" si="89"/>
        <v>2.5447042640990514E-2</v>
      </c>
      <c r="DQ107" s="365">
        <f t="shared" si="89"/>
        <v>2.7113806635747251E-2</v>
      </c>
      <c r="DR107" s="365">
        <f t="shared" ref="DR107:DS122" si="96">GEOMEAN(DN104:DN107)/GEOMEAN(DN100:DN103)-1</f>
        <v>2.7775431204141388E-2</v>
      </c>
      <c r="DS107" s="365">
        <f t="shared" si="96"/>
        <v>2.5291473234859918E-2</v>
      </c>
      <c r="DY107" s="367">
        <v>26543</v>
      </c>
      <c r="DZ107" s="368">
        <v>11.1</v>
      </c>
      <c r="EJ107" s="248" t="s">
        <v>474</v>
      </c>
      <c r="EK107" s="95">
        <v>184582800</v>
      </c>
      <c r="EL107" s="95">
        <v>1618564400</v>
      </c>
      <c r="EN107" s="248" t="s">
        <v>474</v>
      </c>
      <c r="EO107" s="95">
        <v>6188900</v>
      </c>
      <c r="EP107" s="95">
        <v>56231000</v>
      </c>
      <c r="ER107" s="352">
        <f t="shared" si="83"/>
        <v>29.824815395304498</v>
      </c>
      <c r="ES107" s="352">
        <f t="shared" si="83"/>
        <v>28.78420088563248</v>
      </c>
      <c r="ET107" s="89">
        <f t="shared" si="95"/>
        <v>1.3300103034139754E-2</v>
      </c>
      <c r="EU107" s="89">
        <f t="shared" si="95"/>
        <v>2.0659413018752515E-2</v>
      </c>
      <c r="EV107" s="350">
        <v>42064</v>
      </c>
      <c r="EW107" s="352">
        <f t="shared" si="94"/>
        <v>29.523883306214891</v>
      </c>
      <c r="EX107" s="352">
        <f t="shared" si="94"/>
        <v>28.619412923804926</v>
      </c>
      <c r="EY107" s="89">
        <f t="shared" ref="EY107:EZ114" si="97">EW107/EW103-1</f>
        <v>2.1661224017230696E-2</v>
      </c>
      <c r="EZ107" s="89">
        <f t="shared" si="97"/>
        <v>2.4161337723089371E-2</v>
      </c>
    </row>
    <row r="108" spans="2:156" ht="15" customHeight="1">
      <c r="CW108" s="248" t="s">
        <v>529</v>
      </c>
      <c r="CX108">
        <v>1179</v>
      </c>
      <c r="CY108">
        <v>1180</v>
      </c>
      <c r="CZ108" t="s">
        <v>634</v>
      </c>
      <c r="DA108" s="255"/>
      <c r="DH108" s="248" t="s">
        <v>474</v>
      </c>
      <c r="DI108">
        <v>36.31</v>
      </c>
      <c r="DJ108">
        <v>26.84</v>
      </c>
      <c r="DK108">
        <v>28.78</v>
      </c>
      <c r="DM108" s="353">
        <v>42064</v>
      </c>
      <c r="DN108">
        <v>29.82</v>
      </c>
      <c r="DO108">
        <v>28.78</v>
      </c>
      <c r="DP108" s="365">
        <f t="shared" si="89"/>
        <v>1.3251783893985847E-2</v>
      </c>
      <c r="DQ108" s="365">
        <f t="shared" si="89"/>
        <v>2.0567375886524797E-2</v>
      </c>
      <c r="DR108" s="365">
        <f t="shared" si="96"/>
        <v>2.1750465905005623E-2</v>
      </c>
      <c r="DS108" s="365">
        <f t="shared" si="96"/>
        <v>2.425382917842156E-2</v>
      </c>
      <c r="DY108" s="367">
        <v>26634</v>
      </c>
      <c r="DZ108" s="368">
        <v>11.2</v>
      </c>
      <c r="EJ108" s="248" t="s">
        <v>477</v>
      </c>
      <c r="EK108" s="95">
        <v>189026800</v>
      </c>
      <c r="EL108" s="95">
        <v>1635958300</v>
      </c>
      <c r="EN108" s="248" t="s">
        <v>477</v>
      </c>
      <c r="EO108" s="95">
        <v>6333600</v>
      </c>
      <c r="EP108" s="95">
        <v>56334600</v>
      </c>
      <c r="ER108" s="352">
        <f t="shared" ref="ER108:ES114" si="98">EK108/EO108</f>
        <v>29.845080207149174</v>
      </c>
      <c r="ES108" s="352">
        <f t="shared" si="98"/>
        <v>29.040026910637511</v>
      </c>
      <c r="ET108" s="89">
        <f t="shared" si="95"/>
        <v>2.5840702503855173E-2</v>
      </c>
      <c r="EU108" s="89">
        <f t="shared" si="95"/>
        <v>2.8090712035567789E-2</v>
      </c>
      <c r="EV108" s="350">
        <v>42156</v>
      </c>
      <c r="EW108" s="352">
        <f t="shared" si="94"/>
        <v>29.711861321987147</v>
      </c>
      <c r="EX108" s="352">
        <f t="shared" si="94"/>
        <v>28.818765638520599</v>
      </c>
      <c r="EY108" s="89">
        <f t="shared" si="97"/>
        <v>2.3010951959311132E-2</v>
      </c>
      <c r="EZ108" s="89">
        <f t="shared" si="97"/>
        <v>2.4855420930627092E-2</v>
      </c>
    </row>
    <row r="109" spans="2:156" ht="15" customHeight="1">
      <c r="CW109" s="248" t="s">
        <v>718</v>
      </c>
      <c r="CX109">
        <v>1184</v>
      </c>
      <c r="CY109">
        <v>1185</v>
      </c>
      <c r="CZ109" t="s">
        <v>634</v>
      </c>
      <c r="DA109" s="255"/>
      <c r="DH109" s="248" t="s">
        <v>477</v>
      </c>
      <c r="DI109">
        <v>35.94</v>
      </c>
      <c r="DJ109">
        <v>27.17</v>
      </c>
      <c r="DK109">
        <v>29.04</v>
      </c>
      <c r="DM109" s="353">
        <v>42156</v>
      </c>
      <c r="DN109">
        <v>29.84</v>
      </c>
      <c r="DO109">
        <v>29.04</v>
      </c>
      <c r="DP109" s="365">
        <f t="shared" si="89"/>
        <v>2.5782055689240302E-2</v>
      </c>
      <c r="DQ109" s="365">
        <f t="shared" si="89"/>
        <v>2.7964601769911557E-2</v>
      </c>
      <c r="DR109" s="365">
        <f t="shared" si="96"/>
        <v>2.3019480027607564E-2</v>
      </c>
      <c r="DS109" s="365">
        <f t="shared" si="96"/>
        <v>2.4891577093260508E-2</v>
      </c>
      <c r="DY109" s="367">
        <v>26724</v>
      </c>
      <c r="DZ109" s="368">
        <v>11.4</v>
      </c>
      <c r="EJ109" s="248" t="s">
        <v>480</v>
      </c>
      <c r="EK109" s="95">
        <v>188509800</v>
      </c>
      <c r="EL109" s="95">
        <v>1635142400</v>
      </c>
      <c r="EN109" s="248" t="s">
        <v>480</v>
      </c>
      <c r="EO109" s="95">
        <v>6324100</v>
      </c>
      <c r="EP109" s="95">
        <v>55785000</v>
      </c>
      <c r="ER109" s="352">
        <f t="shared" si="98"/>
        <v>29.808162426274095</v>
      </c>
      <c r="ES109" s="352">
        <f t="shared" si="98"/>
        <v>29.311506677422248</v>
      </c>
      <c r="ET109" s="89">
        <f t="shared" si="95"/>
        <v>1.5651162987104561E-2</v>
      </c>
      <c r="EU109" s="89">
        <f t="shared" si="95"/>
        <v>2.2827676811167485E-2</v>
      </c>
      <c r="EV109" s="350">
        <v>42248</v>
      </c>
      <c r="EW109" s="352">
        <f t="shared" si="94"/>
        <v>29.824914947926892</v>
      </c>
      <c r="EX109" s="352">
        <f t="shared" si="94"/>
        <v>28.980817108574332</v>
      </c>
      <c r="EY109" s="89">
        <f t="shared" si="97"/>
        <v>2.0055622376414117E-2</v>
      </c>
      <c r="EZ109" s="89">
        <f t="shared" si="97"/>
        <v>2.4587006429305225E-2</v>
      </c>
    </row>
    <row r="110" spans="2:156" ht="15" customHeight="1">
      <c r="CW110" s="379" t="s">
        <v>719</v>
      </c>
      <c r="CX110" s="386">
        <f t="shared" ref="CX110:CY114" si="99">CX109*(1+$CJ52)</f>
        <v>1192.2879999999998</v>
      </c>
      <c r="CY110" s="386">
        <f t="shared" si="99"/>
        <v>1193.2949999999998</v>
      </c>
      <c r="DA110" s="255"/>
      <c r="DH110" s="248" t="s">
        <v>480</v>
      </c>
      <c r="DI110">
        <v>36.46</v>
      </c>
      <c r="DJ110">
        <v>27.4</v>
      </c>
      <c r="DK110">
        <v>29.31</v>
      </c>
      <c r="DM110" s="353">
        <v>42248</v>
      </c>
      <c r="DN110">
        <v>29.81</v>
      </c>
      <c r="DO110">
        <v>29.31</v>
      </c>
      <c r="DP110" s="365">
        <f t="shared" si="89"/>
        <v>1.5672913117546816E-2</v>
      </c>
      <c r="DQ110" s="365">
        <f t="shared" si="89"/>
        <v>2.2679692951849129E-2</v>
      </c>
      <c r="DR110" s="365">
        <f t="shared" si="96"/>
        <v>2.002283775529734E-2</v>
      </c>
      <c r="DS110" s="365">
        <f t="shared" si="96"/>
        <v>2.4576782201445768E-2</v>
      </c>
      <c r="DY110" s="367">
        <v>26816</v>
      </c>
      <c r="DZ110" s="368">
        <v>11.8</v>
      </c>
      <c r="EJ110" s="248" t="s">
        <v>483</v>
      </c>
      <c r="EK110" s="95">
        <v>191541000</v>
      </c>
      <c r="EL110" s="95">
        <v>1681627400</v>
      </c>
      <c r="EN110" s="248" t="s">
        <v>483</v>
      </c>
      <c r="EO110" s="95">
        <v>6329300</v>
      </c>
      <c r="EP110" s="95">
        <v>57188500</v>
      </c>
      <c r="ER110" s="352">
        <f t="shared" si="98"/>
        <v>30.26258827990457</v>
      </c>
      <c r="ES110" s="352">
        <f t="shared" si="98"/>
        <v>29.404992262430383</v>
      </c>
      <c r="ET110" s="89">
        <f t="shared" si="95"/>
        <v>1.4792603544337535E-2</v>
      </c>
      <c r="EU110" s="89">
        <f t="shared" si="95"/>
        <v>2.1494171296783993E-2</v>
      </c>
      <c r="EV110" s="350">
        <v>42339</v>
      </c>
      <c r="EW110" s="352">
        <f t="shared" si="94"/>
        <v>29.935787797059888</v>
      </c>
      <c r="EX110" s="352">
        <f t="shared" si="94"/>
        <v>29.135934744795914</v>
      </c>
      <c r="EY110" s="89">
        <f t="shared" si="97"/>
        <v>1.7366611543766952E-2</v>
      </c>
      <c r="EZ110" s="89">
        <f t="shared" si="97"/>
        <v>2.3270380456841488E-2</v>
      </c>
    </row>
    <row r="111" spans="2:156" ht="15" customHeight="1">
      <c r="CW111" s="379" t="s">
        <v>720</v>
      </c>
      <c r="CX111" s="386">
        <f t="shared" si="99"/>
        <v>1198.2494399999996</v>
      </c>
      <c r="CY111" s="386">
        <f t="shared" si="99"/>
        <v>1199.2614749999998</v>
      </c>
      <c r="DA111" s="255"/>
      <c r="DH111" s="248" t="s">
        <v>483</v>
      </c>
      <c r="DI111">
        <v>36.61</v>
      </c>
      <c r="DJ111">
        <v>27.47</v>
      </c>
      <c r="DK111">
        <v>29.41</v>
      </c>
      <c r="DM111" s="353">
        <v>42339</v>
      </c>
      <c r="DN111">
        <v>30.26</v>
      </c>
      <c r="DO111">
        <v>29.41</v>
      </c>
      <c r="DP111" s="365">
        <f t="shared" si="89"/>
        <v>1.4755197853789426E-2</v>
      </c>
      <c r="DQ111" s="365">
        <f t="shared" si="89"/>
        <v>2.1535255296978084E-2</v>
      </c>
      <c r="DR111" s="365">
        <f t="shared" si="96"/>
        <v>1.7353555919162655E-2</v>
      </c>
      <c r="DS111" s="365">
        <f t="shared" si="96"/>
        <v>2.3182746694823342E-2</v>
      </c>
      <c r="DY111" s="367">
        <v>26908</v>
      </c>
      <c r="DZ111" s="368">
        <v>12.2</v>
      </c>
      <c r="EJ111" s="248" t="s">
        <v>493</v>
      </c>
      <c r="EK111" s="95">
        <v>197211700</v>
      </c>
      <c r="EL111" s="95">
        <v>1696300700</v>
      </c>
      <c r="EN111" s="248" t="s">
        <v>493</v>
      </c>
      <c r="EO111" s="95">
        <v>6497700</v>
      </c>
      <c r="EP111" s="95">
        <v>57533100</v>
      </c>
      <c r="ER111" s="352">
        <f t="shared" si="98"/>
        <v>30.351001123474461</v>
      </c>
      <c r="ES111" s="352">
        <f t="shared" si="98"/>
        <v>29.483909262667925</v>
      </c>
      <c r="ET111" s="89">
        <f t="shared" si="95"/>
        <v>1.7642547697136912E-2</v>
      </c>
      <c r="EU111" s="89">
        <f t="shared" si="95"/>
        <v>2.4308765069267713E-2</v>
      </c>
      <c r="EV111" s="350">
        <v>42430</v>
      </c>
      <c r="EW111" s="352">
        <f t="shared" si="94"/>
        <v>30.068601945481014</v>
      </c>
      <c r="EX111" s="352">
        <f t="shared" si="94"/>
        <v>29.311380825000043</v>
      </c>
      <c r="EY111" s="89">
        <f t="shared" si="97"/>
        <v>1.845010135070746E-2</v>
      </c>
      <c r="EZ111" s="89">
        <f t="shared" si="97"/>
        <v>2.4178270289379578E-2</v>
      </c>
    </row>
    <row r="112" spans="2:156" ht="15" customHeight="1">
      <c r="CW112" s="379" t="s">
        <v>721</v>
      </c>
      <c r="CX112" s="386">
        <f t="shared" si="99"/>
        <v>1203.0424377599995</v>
      </c>
      <c r="CY112" s="386">
        <f t="shared" si="99"/>
        <v>1204.0585208999998</v>
      </c>
      <c r="DA112" s="255"/>
      <c r="DH112" s="248" t="s">
        <v>493</v>
      </c>
      <c r="DI112">
        <v>37.29</v>
      </c>
      <c r="DJ112">
        <v>27.54</v>
      </c>
      <c r="DK112">
        <v>29.48</v>
      </c>
      <c r="DM112" s="353">
        <v>42430</v>
      </c>
      <c r="DN112" s="352">
        <v>30.35</v>
      </c>
      <c r="DO112" s="352">
        <v>29.48</v>
      </c>
      <c r="DP112" s="365">
        <f t="shared" si="89"/>
        <v>1.7773306505700859E-2</v>
      </c>
      <c r="DQ112" s="365">
        <f t="shared" si="89"/>
        <v>2.4322446143155041E-2</v>
      </c>
      <c r="DR112" s="365">
        <f t="shared" si="96"/>
        <v>1.8486618194129667E-2</v>
      </c>
      <c r="DS112" s="365">
        <f t="shared" si="96"/>
        <v>2.4122624179023111E-2</v>
      </c>
      <c r="DY112" s="367">
        <v>26999</v>
      </c>
      <c r="DZ112" s="368">
        <v>12.6</v>
      </c>
      <c r="EJ112" s="248" t="s">
        <v>499</v>
      </c>
      <c r="EK112" s="95">
        <v>196740600</v>
      </c>
      <c r="EL112" s="95">
        <v>1720030300</v>
      </c>
      <c r="EN112" s="248" t="s">
        <v>499</v>
      </c>
      <c r="EO112" s="95">
        <v>6549700</v>
      </c>
      <c r="EP112" s="95">
        <v>57967100</v>
      </c>
      <c r="ER112" s="352">
        <f t="shared" si="98"/>
        <v>30.038108615661788</v>
      </c>
      <c r="ES112" s="352">
        <f t="shared" si="98"/>
        <v>29.67252631233924</v>
      </c>
      <c r="ET112" s="89">
        <f t="shared" si="95"/>
        <v>6.4676793351814421E-3</v>
      </c>
      <c r="EU112" s="89">
        <f t="shared" si="95"/>
        <v>2.1780262244524229E-2</v>
      </c>
      <c r="EV112" s="350">
        <v>42522</v>
      </c>
      <c r="EW112" s="352">
        <f t="shared" si="94"/>
        <v>30.115914679698687</v>
      </c>
      <c r="EX112" s="352">
        <f t="shared" si="94"/>
        <v>29.469916231058541</v>
      </c>
      <c r="EY112" s="89">
        <f t="shared" si="97"/>
        <v>1.3599059087305854E-2</v>
      </c>
      <c r="EZ112" s="89">
        <f t="shared" si="97"/>
        <v>2.2594673231513429E-2</v>
      </c>
    </row>
    <row r="113" spans="47:156" ht="15" customHeight="1">
      <c r="CW113" s="379" t="s">
        <v>722</v>
      </c>
      <c r="CX113" s="386">
        <f t="shared" si="99"/>
        <v>1207.8546075110396</v>
      </c>
      <c r="CY113" s="386">
        <f t="shared" si="99"/>
        <v>1208.8747549835998</v>
      </c>
      <c r="DA113" s="255"/>
      <c r="DH113" s="248" t="s">
        <v>499</v>
      </c>
      <c r="DI113">
        <v>37.020000000000003</v>
      </c>
      <c r="DJ113">
        <v>27.78</v>
      </c>
      <c r="DK113">
        <v>29.67</v>
      </c>
      <c r="DM113" s="353">
        <v>42522</v>
      </c>
      <c r="DN113" s="352">
        <v>30.04</v>
      </c>
      <c r="DO113" s="352">
        <v>29.67</v>
      </c>
      <c r="DP113" s="365">
        <f t="shared" si="89"/>
        <v>6.7024128686326012E-3</v>
      </c>
      <c r="DQ113" s="365">
        <f t="shared" si="89"/>
        <v>2.1694214876033069E-2</v>
      </c>
      <c r="DR113" s="365">
        <f t="shared" si="96"/>
        <v>1.3717234704899939E-2</v>
      </c>
      <c r="DS113" s="365">
        <f t="shared" si="96"/>
        <v>2.2557301159242149E-2</v>
      </c>
      <c r="DY113" s="367">
        <v>27089</v>
      </c>
      <c r="DZ113" s="368">
        <v>13</v>
      </c>
      <c r="EJ113" s="248" t="s">
        <v>502</v>
      </c>
      <c r="EK113" s="95">
        <v>197074000</v>
      </c>
      <c r="EL113" s="95">
        <v>1722112900</v>
      </c>
      <c r="EN113" s="248" t="s">
        <v>502</v>
      </c>
      <c r="EO113" s="95">
        <v>6524000</v>
      </c>
      <c r="EP113" s="95">
        <v>57713900</v>
      </c>
      <c r="ER113" s="352">
        <f t="shared" si="98"/>
        <v>30.207541385652974</v>
      </c>
      <c r="ES113" s="352">
        <f t="shared" si="98"/>
        <v>29.838789269136203</v>
      </c>
      <c r="ET113" s="89">
        <f t="shared" si="95"/>
        <v>1.339830861317548E-2</v>
      </c>
      <c r="EU113" s="89">
        <f t="shared" si="95"/>
        <v>1.7988928290748829E-2</v>
      </c>
      <c r="EV113" s="350">
        <v>42614</v>
      </c>
      <c r="EW113" s="352">
        <f t="shared" si="94"/>
        <v>30.214137069654488</v>
      </c>
      <c r="EX113" s="352">
        <f t="shared" si="94"/>
        <v>29.600669870912917</v>
      </c>
      <c r="EY113" s="89">
        <f t="shared" si="97"/>
        <v>1.305023408808248E-2</v>
      </c>
      <c r="EZ113" s="89">
        <f t="shared" si="97"/>
        <v>2.1388381149377356E-2</v>
      </c>
    </row>
    <row r="114" spans="47:156" ht="15" customHeight="1">
      <c r="CW114" s="248" t="s">
        <v>724</v>
      </c>
      <c r="CX114" s="386">
        <f t="shared" si="99"/>
        <v>1217.517444371128</v>
      </c>
      <c r="CY114" s="386">
        <f t="shared" si="99"/>
        <v>1218.5457530234687</v>
      </c>
      <c r="DA114" s="255"/>
      <c r="DH114" s="248" t="s">
        <v>502</v>
      </c>
      <c r="DI114">
        <v>37.549999999999997</v>
      </c>
      <c r="DJ114">
        <v>27.87</v>
      </c>
      <c r="DK114">
        <v>29.84</v>
      </c>
      <c r="DM114" s="353">
        <v>42614</v>
      </c>
      <c r="DN114" s="352">
        <v>30.21</v>
      </c>
      <c r="DO114" s="352">
        <v>29.84</v>
      </c>
      <c r="DP114" s="365">
        <f t="shared" ref="DP114:DQ123" si="100">DN114/DN110-1</f>
        <v>1.3418316001341912E-2</v>
      </c>
      <c r="DQ114" s="365">
        <f t="shared" si="100"/>
        <v>1.8082565677243201E-2</v>
      </c>
      <c r="DR114" s="365">
        <f t="shared" si="96"/>
        <v>1.3154201831701906E-2</v>
      </c>
      <c r="DS114" s="365">
        <f t="shared" si="96"/>
        <v>2.1406214685584679E-2</v>
      </c>
      <c r="DY114" s="367">
        <v>27181</v>
      </c>
      <c r="DZ114" s="368">
        <v>13.5</v>
      </c>
      <c r="EJ114" s="248" t="s">
        <v>505</v>
      </c>
      <c r="EK114" s="95">
        <v>200363900</v>
      </c>
      <c r="EL114" s="95">
        <v>1762871000</v>
      </c>
      <c r="EN114" s="248" t="s">
        <v>505</v>
      </c>
      <c r="EO114" s="95">
        <v>6696700</v>
      </c>
      <c r="EP114" s="95">
        <v>59154000</v>
      </c>
      <c r="ER114" s="352">
        <f t="shared" si="98"/>
        <v>29.91979631758926</v>
      </c>
      <c r="ES114" s="352">
        <f t="shared" si="98"/>
        <v>29.801382831254013</v>
      </c>
      <c r="ET114" s="89">
        <f t="shared" si="95"/>
        <v>-1.1327251956929851E-2</v>
      </c>
      <c r="EU114" s="89">
        <f t="shared" si="95"/>
        <v>1.3480383374563365E-2</v>
      </c>
      <c r="EV114" s="350">
        <v>42705</v>
      </c>
      <c r="EW114" s="352">
        <f t="shared" si="94"/>
        <v>30.127424518712811</v>
      </c>
      <c r="EX114" s="352">
        <f t="shared" si="94"/>
        <v>29.699923956859827</v>
      </c>
      <c r="EY114" s="89">
        <f t="shared" si="97"/>
        <v>6.4015927341569689E-3</v>
      </c>
      <c r="EZ114" s="89">
        <f t="shared" si="97"/>
        <v>1.9357168973775485E-2</v>
      </c>
    </row>
    <row r="115" spans="47:156" ht="15" customHeight="1">
      <c r="AU115" s="255"/>
      <c r="AV115" s="255"/>
      <c r="CW115" s="248"/>
      <c r="CX115" s="386"/>
      <c r="CY115" s="386"/>
      <c r="DA115" s="255"/>
      <c r="DH115" s="248" t="s">
        <v>505</v>
      </c>
      <c r="DI115">
        <v>37.71</v>
      </c>
      <c r="DJ115">
        <v>27.8</v>
      </c>
      <c r="DK115">
        <v>29.8</v>
      </c>
      <c r="DM115" s="353">
        <v>42705</v>
      </c>
      <c r="DN115" s="352">
        <v>29.92</v>
      </c>
      <c r="DO115" s="352">
        <v>29.8</v>
      </c>
      <c r="DP115" s="365">
        <f t="shared" si="100"/>
        <v>-1.1235955056179803E-2</v>
      </c>
      <c r="DQ115" s="365">
        <f t="shared" si="100"/>
        <v>1.3260795647738854E-2</v>
      </c>
      <c r="DR115" s="365">
        <f t="shared" si="96"/>
        <v>6.6034050173520153E-3</v>
      </c>
      <c r="DS115" s="365">
        <f t="shared" si="96"/>
        <v>1.9331548587021796E-2</v>
      </c>
      <c r="DY115" s="367">
        <v>27273</v>
      </c>
      <c r="DZ115" s="368">
        <v>14.2</v>
      </c>
      <c r="EJ115" s="248" t="s">
        <v>508</v>
      </c>
      <c r="EK115" s="372">
        <v>207264500</v>
      </c>
      <c r="EL115" s="372">
        <v>1777763100</v>
      </c>
      <c r="EN115" s="248" t="s">
        <v>508</v>
      </c>
      <c r="EO115" s="372">
        <v>6767600</v>
      </c>
      <c r="EP115" s="372">
        <v>59341200</v>
      </c>
      <c r="ER115" s="352">
        <f>EK115/EO115</f>
        <v>30.625997399373485</v>
      </c>
      <c r="ES115" s="352">
        <f>EL115/EP115</f>
        <v>29.958327435238925</v>
      </c>
      <c r="ET115" s="89">
        <f>ER115/ER111-1</f>
        <v>9.0605339435190224E-3</v>
      </c>
      <c r="EU115" s="89">
        <f>ES115/ES111-1</f>
        <v>1.6090748629853602E-2</v>
      </c>
      <c r="EV115" s="350">
        <v>42795</v>
      </c>
      <c r="EW115" s="352">
        <f>SUM(EK112:EK115)/SUM(EO112:EO115)</f>
        <v>30.199826663652122</v>
      </c>
      <c r="EX115" s="352">
        <f>SUM(EL112:EL115)/SUM(EP112:EP115)</f>
        <v>29.81847557522925</v>
      </c>
      <c r="EY115" s="89">
        <f>EW115/EW111-1</f>
        <v>4.3641775699794216E-3</v>
      </c>
      <c r="EZ115" s="89">
        <f>EX115/EX111-1</f>
        <v>1.7300268221983606E-2</v>
      </c>
    </row>
    <row r="116" spans="47:156" ht="15" customHeight="1">
      <c r="CW116" s="278" t="s">
        <v>401</v>
      </c>
      <c r="CX116" s="278"/>
      <c r="CY116" s="278"/>
      <c r="CZ116" s="278"/>
      <c r="DA116" s="255"/>
      <c r="DH116" s="248" t="s">
        <v>508</v>
      </c>
      <c r="DI116">
        <v>38.869999999999997</v>
      </c>
      <c r="DJ116">
        <v>27.89</v>
      </c>
      <c r="DK116">
        <v>29.96</v>
      </c>
      <c r="DM116" s="353">
        <v>42795</v>
      </c>
      <c r="DN116" s="352">
        <v>30.63</v>
      </c>
      <c r="DO116" s="352">
        <v>29.96</v>
      </c>
      <c r="DP116" s="365">
        <f t="shared" si="100"/>
        <v>9.2257001647446657E-3</v>
      </c>
      <c r="DQ116" s="365">
        <f t="shared" si="100"/>
        <v>1.6282225237449044E-2</v>
      </c>
      <c r="DR116" s="365">
        <f t="shared" si="96"/>
        <v>4.4832667421235151E-3</v>
      </c>
      <c r="DS116" s="365">
        <f t="shared" si="96"/>
        <v>1.7325372277375184E-2</v>
      </c>
      <c r="DY116" s="367">
        <v>27364</v>
      </c>
      <c r="DZ116" s="368">
        <v>14.7</v>
      </c>
      <c r="EJ116" s="278" t="s">
        <v>401</v>
      </c>
      <c r="EK116" s="278"/>
      <c r="EL116" s="278"/>
      <c r="EN116" s="278" t="s">
        <v>401</v>
      </c>
      <c r="EO116" s="278"/>
      <c r="EP116" s="278"/>
    </row>
    <row r="117" spans="47:156" ht="15" customHeight="1">
      <c r="CW117" s="282" t="s">
        <v>407</v>
      </c>
      <c r="CX117" s="282"/>
      <c r="CY117" s="282"/>
      <c r="CZ117" s="282"/>
      <c r="DA117" s="255"/>
      <c r="DH117" s="248" t="s">
        <v>511</v>
      </c>
      <c r="DI117">
        <v>38.549999999999997</v>
      </c>
      <c r="DJ117">
        <v>28.12</v>
      </c>
      <c r="DK117">
        <v>30.15</v>
      </c>
      <c r="DM117" s="353">
        <v>42887</v>
      </c>
      <c r="DN117" s="352">
        <v>30.77</v>
      </c>
      <c r="DO117" s="352">
        <v>30.15</v>
      </c>
      <c r="DP117" s="365">
        <f t="shared" si="100"/>
        <v>2.4300932090545846E-2</v>
      </c>
      <c r="DQ117" s="365">
        <f t="shared" si="100"/>
        <v>1.6177957532861331E-2</v>
      </c>
      <c r="DR117" s="365">
        <f t="shared" si="96"/>
        <v>8.8447098863579932E-3</v>
      </c>
      <c r="DS117" s="365">
        <f t="shared" si="96"/>
        <v>1.5949415922644317E-2</v>
      </c>
      <c r="DY117" s="367">
        <v>27454</v>
      </c>
      <c r="DZ117" s="368">
        <v>15.3</v>
      </c>
      <c r="EJ117" s="282" t="s">
        <v>407</v>
      </c>
      <c r="EK117" s="282"/>
      <c r="EL117" s="282"/>
      <c r="EN117" s="282" t="s">
        <v>407</v>
      </c>
      <c r="EO117" s="282"/>
      <c r="EP117" s="282"/>
    </row>
    <row r="118" spans="47:156" ht="15" customHeight="1">
      <c r="CW118" s="282" t="s">
        <v>716</v>
      </c>
      <c r="CX118" s="282"/>
      <c r="CY118" s="282"/>
      <c r="CZ118" s="282"/>
      <c r="DA118" s="255"/>
      <c r="DH118" s="248" t="s">
        <v>514</v>
      </c>
      <c r="DI118">
        <v>38.799999999999997</v>
      </c>
      <c r="DJ118">
        <v>28.44</v>
      </c>
      <c r="DK118">
        <v>30.51</v>
      </c>
      <c r="DL118" s="371"/>
      <c r="DM118" s="353">
        <v>42979</v>
      </c>
      <c r="DN118" s="352">
        <v>31.35</v>
      </c>
      <c r="DO118" s="352">
        <v>30.51</v>
      </c>
      <c r="DP118" s="365">
        <f t="shared" si="100"/>
        <v>3.7735849056603765E-2</v>
      </c>
      <c r="DQ118" s="365">
        <f t="shared" si="100"/>
        <v>2.2453083109919669E-2</v>
      </c>
      <c r="DR118" s="365">
        <f t="shared" si="96"/>
        <v>1.4842949079504564E-2</v>
      </c>
      <c r="DS118" s="365">
        <f t="shared" si="96"/>
        <v>1.7038005052036898E-2</v>
      </c>
      <c r="DY118" s="367">
        <v>27546</v>
      </c>
      <c r="DZ118" s="368">
        <v>15.8</v>
      </c>
      <c r="EJ118" s="282" t="s">
        <v>733</v>
      </c>
      <c r="EK118" s="282"/>
      <c r="EL118" s="282"/>
      <c r="EN118" s="282" t="s">
        <v>413</v>
      </c>
      <c r="EO118" s="282"/>
      <c r="EP118" s="282"/>
    </row>
    <row r="119" spans="47:156" ht="15" customHeight="1">
      <c r="CW119" s="282"/>
      <c r="CX119" s="282"/>
      <c r="CY119" s="282"/>
      <c r="CZ119" s="282"/>
      <c r="DA119" s="255"/>
      <c r="DH119" s="248" t="s">
        <v>517</v>
      </c>
      <c r="DI119">
        <v>38.94</v>
      </c>
      <c r="DJ119">
        <v>28.68</v>
      </c>
      <c r="DK119">
        <v>30.74</v>
      </c>
      <c r="DL119" s="255"/>
      <c r="DM119" s="353">
        <v>43070</v>
      </c>
      <c r="DN119" s="352">
        <v>31.59</v>
      </c>
      <c r="DO119" s="352">
        <v>30.74</v>
      </c>
      <c r="DP119" s="365">
        <f t="shared" si="100"/>
        <v>5.5815508021390237E-2</v>
      </c>
      <c r="DQ119" s="365">
        <f t="shared" si="100"/>
        <v>3.1543624161073813E-2</v>
      </c>
      <c r="DR119" s="365">
        <f t="shared" si="96"/>
        <v>3.1626955819049174E-2</v>
      </c>
      <c r="DS119" s="365">
        <f t="shared" si="96"/>
        <v>2.1595031267831466E-2</v>
      </c>
      <c r="DY119" s="367">
        <v>27638</v>
      </c>
      <c r="DZ119" s="368">
        <v>15.9</v>
      </c>
      <c r="EJ119" s="282"/>
      <c r="EK119" s="282"/>
      <c r="EL119" s="282"/>
      <c r="EN119" s="282"/>
      <c r="EO119" s="282"/>
      <c r="EP119" s="282"/>
    </row>
    <row r="120" spans="47:156" ht="15" customHeight="1">
      <c r="CW120" s="278" t="s">
        <v>424</v>
      </c>
      <c r="CX120" s="278"/>
      <c r="CY120" s="278"/>
      <c r="CZ120" s="278"/>
      <c r="DA120" s="255"/>
      <c r="DH120" s="248" t="s">
        <v>520</v>
      </c>
      <c r="DI120">
        <v>39.32</v>
      </c>
      <c r="DJ120">
        <v>29.01</v>
      </c>
      <c r="DK120">
        <v>31.03</v>
      </c>
      <c r="DL120" s="255"/>
      <c r="DM120" s="353">
        <v>43160</v>
      </c>
      <c r="DN120" s="352">
        <v>32.270000000000003</v>
      </c>
      <c r="DO120" s="352">
        <v>31.03</v>
      </c>
      <c r="DP120" s="365">
        <f t="shared" si="100"/>
        <v>5.3542278811622657E-2</v>
      </c>
      <c r="DQ120" s="365">
        <f t="shared" si="100"/>
        <v>3.5714285714285809E-2</v>
      </c>
      <c r="DR120" s="365">
        <f t="shared" si="96"/>
        <v>4.2770168196300862E-2</v>
      </c>
      <c r="DS120" s="365">
        <f t="shared" si="96"/>
        <v>2.6443812664250999E-2</v>
      </c>
      <c r="DY120" s="367">
        <v>27729</v>
      </c>
      <c r="DZ120" s="368">
        <v>16.8</v>
      </c>
      <c r="EJ120" s="278" t="s">
        <v>424</v>
      </c>
      <c r="EK120" s="278"/>
      <c r="EL120" s="278"/>
      <c r="EN120" s="278" t="s">
        <v>424</v>
      </c>
      <c r="EO120" s="278"/>
      <c r="EP120" s="278"/>
    </row>
    <row r="121" spans="47:156" ht="15" customHeight="1">
      <c r="CW121" s="282" t="s">
        <v>737</v>
      </c>
      <c r="CX121" s="282"/>
      <c r="CY121" s="282"/>
      <c r="CZ121" s="282"/>
      <c r="DA121" s="255"/>
      <c r="DH121" s="248" t="s">
        <v>523</v>
      </c>
      <c r="DI121">
        <v>39.119999999999997</v>
      </c>
      <c r="DJ121">
        <v>29.07</v>
      </c>
      <c r="DK121">
        <v>31.08</v>
      </c>
      <c r="DL121" s="255"/>
      <c r="DM121" s="353">
        <v>43252</v>
      </c>
      <c r="DN121" s="352">
        <v>32.159999999999997</v>
      </c>
      <c r="DO121" s="352">
        <v>31.08</v>
      </c>
      <c r="DP121" s="365">
        <f t="shared" si="100"/>
        <v>4.5173870653233639E-2</v>
      </c>
      <c r="DQ121" s="365">
        <f t="shared" si="100"/>
        <v>3.0845771144278666E-2</v>
      </c>
      <c r="DR121" s="365">
        <f t="shared" si="96"/>
        <v>4.8042374113670405E-2</v>
      </c>
      <c r="DS121" s="365">
        <f t="shared" si="96"/>
        <v>3.0127929093520356E-2</v>
      </c>
      <c r="DY121" s="367">
        <v>27820</v>
      </c>
      <c r="DZ121" s="368">
        <v>17.3</v>
      </c>
      <c r="EJ121" s="282"/>
      <c r="EK121" s="282"/>
      <c r="EL121" s="282"/>
      <c r="EN121" s="282"/>
      <c r="EO121" s="282"/>
      <c r="EP121" s="282"/>
    </row>
    <row r="122" spans="47:156" ht="15" customHeight="1">
      <c r="CW122" s="282" t="s">
        <v>740</v>
      </c>
      <c r="CX122" s="282"/>
      <c r="CY122" s="282"/>
      <c r="CZ122" s="282"/>
      <c r="DA122" s="399"/>
      <c r="DH122" s="248" t="s">
        <v>526</v>
      </c>
      <c r="DI122">
        <v>39.39</v>
      </c>
      <c r="DJ122">
        <v>29.43</v>
      </c>
      <c r="DK122">
        <v>31.39</v>
      </c>
      <c r="DL122" s="371"/>
      <c r="DM122" s="353">
        <v>43344</v>
      </c>
      <c r="DN122" s="352">
        <v>32.450000000000003</v>
      </c>
      <c r="DO122" s="352">
        <v>31.39</v>
      </c>
      <c r="DP122" s="365">
        <f t="shared" si="100"/>
        <v>3.5087719298245723E-2</v>
      </c>
      <c r="DQ122" s="365">
        <f t="shared" si="100"/>
        <v>2.8843002294329789E-2</v>
      </c>
      <c r="DR122" s="365">
        <f t="shared" si="96"/>
        <v>4.7373125768532143E-2</v>
      </c>
      <c r="DS122" s="365">
        <f t="shared" si="96"/>
        <v>3.1733641800410828E-2</v>
      </c>
      <c r="DY122" s="367">
        <v>27912</v>
      </c>
      <c r="DZ122" s="368">
        <v>17.7</v>
      </c>
      <c r="EJ122" s="282" t="s">
        <v>438</v>
      </c>
      <c r="EK122" s="282"/>
      <c r="EL122" s="282"/>
      <c r="EN122" s="282" t="s">
        <v>438</v>
      </c>
      <c r="EO122" s="282"/>
      <c r="EP122" s="282"/>
    </row>
    <row r="123" spans="47:156" ht="15" customHeight="1">
      <c r="CW123" s="282" t="s">
        <v>742</v>
      </c>
      <c r="CX123" s="282"/>
      <c r="CY123" s="282"/>
      <c r="CZ123" s="282"/>
      <c r="DA123" s="255"/>
      <c r="DH123" s="248" t="s">
        <v>529</v>
      </c>
      <c r="DI123">
        <v>39.65</v>
      </c>
      <c r="DJ123">
        <v>29.75</v>
      </c>
      <c r="DK123">
        <v>31.7</v>
      </c>
      <c r="DL123" s="255"/>
      <c r="DM123" s="353">
        <v>43435</v>
      </c>
      <c r="DN123" s="352">
        <v>32.880000000000003</v>
      </c>
      <c r="DO123" s="352">
        <v>31.7</v>
      </c>
      <c r="DP123" s="365">
        <f t="shared" si="100"/>
        <v>4.0835707502374197E-2</v>
      </c>
      <c r="DQ123" s="365">
        <f t="shared" si="100"/>
        <v>3.1229668184775461E-2</v>
      </c>
      <c r="DR123" s="365">
        <f t="shared" ref="DR123:DS123" si="101">GEOMEAN(DN120:DN123)/GEOMEAN(DN116:DN119)-1</f>
        <v>4.3638189810861983E-2</v>
      </c>
      <c r="DS123" s="365">
        <f t="shared" si="101"/>
        <v>3.1655129386657599E-2</v>
      </c>
      <c r="DY123" s="367">
        <v>28004</v>
      </c>
      <c r="DZ123" s="368">
        <v>18.100000000000001</v>
      </c>
      <c r="EJ123" s="282" t="s">
        <v>443</v>
      </c>
      <c r="EK123" s="282"/>
      <c r="EL123" s="282"/>
      <c r="EN123" s="282" t="s">
        <v>443</v>
      </c>
      <c r="EO123" s="282"/>
      <c r="EP123" s="282"/>
    </row>
    <row r="124" spans="47:156" ht="15" customHeight="1">
      <c r="CW124" s="282"/>
      <c r="CX124" s="282"/>
      <c r="CY124" s="282"/>
      <c r="CZ124" s="282"/>
      <c r="DA124" s="255"/>
      <c r="DH124" s="248" t="s">
        <v>718</v>
      </c>
      <c r="DI124">
        <v>40.39</v>
      </c>
      <c r="DJ124">
        <v>30.07</v>
      </c>
      <c r="DK124">
        <v>32.04</v>
      </c>
      <c r="DL124" s="255"/>
      <c r="DM124" s="353">
        <v>43525</v>
      </c>
      <c r="DN124" s="352">
        <v>33.4</v>
      </c>
      <c r="DO124" s="352">
        <v>32.04</v>
      </c>
      <c r="DP124" s="365">
        <f>DN124/DN120-1</f>
        <v>3.5017043693833072E-2</v>
      </c>
      <c r="DQ124" s="365">
        <f>DO124/DO120-1</f>
        <v>3.2549145987753825E-2</v>
      </c>
      <c r="DR124" s="365">
        <f>GEOMEAN(DN121:DN124)/GEOMEAN(DN117:DN120)-1</f>
        <v>3.9019853368532198E-2</v>
      </c>
      <c r="DS124" s="365">
        <f>GEOMEAN(DO121:DO124)/GEOMEAN(DO117:DO120)-1</f>
        <v>3.0866040776123427E-2</v>
      </c>
      <c r="DY124" s="367">
        <v>28095</v>
      </c>
      <c r="DZ124" s="368">
        <v>19.2</v>
      </c>
      <c r="EJ124" s="282" t="s">
        <v>447</v>
      </c>
      <c r="EK124" s="282"/>
      <c r="EL124" s="282"/>
      <c r="EN124" s="282" t="s">
        <v>447</v>
      </c>
      <c r="EO124" s="282"/>
      <c r="EP124" s="282"/>
    </row>
    <row r="125" spans="47:156" ht="15" customHeight="1">
      <c r="CW125" s="282" t="s">
        <v>438</v>
      </c>
      <c r="CX125" s="282"/>
      <c r="CY125" s="282"/>
      <c r="CZ125" s="282"/>
      <c r="DH125" s="248"/>
      <c r="DL125" s="255"/>
      <c r="DM125" s="353"/>
      <c r="DY125" s="367">
        <v>28185</v>
      </c>
      <c r="DZ125" s="368">
        <v>19.600000000000001</v>
      </c>
      <c r="EJ125" s="282" t="s">
        <v>452</v>
      </c>
      <c r="EK125" s="282"/>
      <c r="EL125" s="282"/>
      <c r="EN125" s="282" t="s">
        <v>452</v>
      </c>
      <c r="EO125" s="282"/>
      <c r="EP125" s="282"/>
    </row>
    <row r="126" spans="47:156" ht="15" customHeight="1">
      <c r="CW126" s="282" t="s">
        <v>443</v>
      </c>
      <c r="CX126" s="282"/>
      <c r="CY126" s="282"/>
      <c r="CZ126" s="282"/>
      <c r="DH126" s="248"/>
      <c r="DL126" s="255"/>
      <c r="DM126" s="353"/>
      <c r="DY126" s="367">
        <v>28277</v>
      </c>
      <c r="DZ126" s="368">
        <v>20.100000000000001</v>
      </c>
      <c r="EJ126" s="282" t="s">
        <v>456</v>
      </c>
      <c r="EK126" s="282"/>
      <c r="EL126" s="282"/>
      <c r="EN126" s="282" t="s">
        <v>456</v>
      </c>
      <c r="EO126" s="282"/>
      <c r="EP126" s="282"/>
    </row>
    <row r="127" spans="47:156" ht="15" customHeight="1">
      <c r="CW127" s="282" t="s">
        <v>447</v>
      </c>
      <c r="CX127" s="282"/>
      <c r="CY127" s="282"/>
      <c r="CZ127" s="282"/>
      <c r="DH127" s="248"/>
      <c r="DL127" s="255"/>
      <c r="DM127" s="353"/>
      <c r="DY127" s="367">
        <v>28369</v>
      </c>
      <c r="DZ127" s="368">
        <v>20.5</v>
      </c>
      <c r="EJ127" s="282" t="s">
        <v>459</v>
      </c>
      <c r="EK127" s="282"/>
      <c r="EL127" s="282"/>
      <c r="EN127" s="282" t="s">
        <v>459</v>
      </c>
      <c r="EO127" s="282"/>
      <c r="EP127" s="282"/>
    </row>
    <row r="128" spans="47:156" ht="15" customHeight="1">
      <c r="CW128" s="282" t="s">
        <v>452</v>
      </c>
      <c r="CX128" s="282"/>
      <c r="CY128" s="282"/>
      <c r="CZ128" s="282"/>
      <c r="DH128" s="248"/>
      <c r="DL128" s="255"/>
      <c r="DM128" s="353"/>
      <c r="DY128" s="367">
        <v>28460</v>
      </c>
      <c r="DZ128" s="368">
        <v>21</v>
      </c>
      <c r="EJ128" s="282" t="s">
        <v>462</v>
      </c>
      <c r="EK128" s="282"/>
      <c r="EL128" s="282"/>
      <c r="EN128" s="282" t="s">
        <v>462</v>
      </c>
      <c r="EO128" s="282"/>
      <c r="EP128" s="282"/>
    </row>
    <row r="129" spans="101:146" ht="15" customHeight="1">
      <c r="CW129" s="282" t="s">
        <v>456</v>
      </c>
      <c r="CX129" s="282"/>
      <c r="CY129" s="282"/>
      <c r="CZ129" s="282"/>
      <c r="DH129" s="278" t="s">
        <v>401</v>
      </c>
      <c r="DI129" s="278"/>
      <c r="DJ129" s="278"/>
      <c r="DK129" s="278"/>
      <c r="DL129" s="255"/>
      <c r="DM129" s="401" t="s">
        <v>401</v>
      </c>
      <c r="DN129" s="371"/>
      <c r="DO129" s="371"/>
      <c r="DY129" s="367">
        <v>28550</v>
      </c>
      <c r="DZ129" s="368">
        <v>21.3</v>
      </c>
      <c r="EJ129" s="282"/>
      <c r="EK129" s="282"/>
      <c r="EL129" s="282"/>
      <c r="EN129" s="282"/>
      <c r="EO129" s="282"/>
      <c r="EP129" s="282"/>
    </row>
    <row r="130" spans="101:146" ht="15" customHeight="1">
      <c r="CW130" s="282" t="s">
        <v>459</v>
      </c>
      <c r="CX130" s="282"/>
      <c r="CY130" s="282"/>
      <c r="CZ130" s="282"/>
      <c r="DH130" s="282" t="s">
        <v>407</v>
      </c>
      <c r="DI130" s="282"/>
      <c r="DJ130" s="282"/>
      <c r="DK130" s="282"/>
      <c r="DL130" s="255"/>
      <c r="DM130" s="397" t="s">
        <v>407</v>
      </c>
      <c r="DN130" s="255"/>
      <c r="DO130" s="255"/>
      <c r="DY130" s="367">
        <v>28642</v>
      </c>
      <c r="DZ130" s="368">
        <v>21.7</v>
      </c>
      <c r="EJ130" s="282" t="s">
        <v>467</v>
      </c>
      <c r="EK130" s="282"/>
      <c r="EL130" s="282"/>
      <c r="EN130" s="282" t="s">
        <v>467</v>
      </c>
      <c r="EO130" s="282"/>
      <c r="EP130" s="282"/>
    </row>
    <row r="131" spans="101:146" ht="15" customHeight="1">
      <c r="CW131" s="282" t="s">
        <v>462</v>
      </c>
      <c r="CX131" s="282"/>
      <c r="CY131" s="282"/>
      <c r="CZ131" s="282"/>
      <c r="DH131" s="282" t="s">
        <v>733</v>
      </c>
      <c r="DI131" s="282"/>
      <c r="DJ131" s="282"/>
      <c r="DK131" s="282"/>
      <c r="DL131" s="255"/>
      <c r="DM131" s="397" t="s">
        <v>733</v>
      </c>
      <c r="DN131" s="255"/>
      <c r="DO131" s="255"/>
      <c r="DY131" s="367">
        <v>28734</v>
      </c>
      <c r="DZ131" s="368">
        <v>22.1</v>
      </c>
      <c r="EJ131" s="282"/>
      <c r="EK131" s="282"/>
      <c r="EL131" s="282"/>
      <c r="EN131" s="282"/>
      <c r="EO131" s="282"/>
      <c r="EP131" s="282"/>
    </row>
    <row r="132" spans="101:146" ht="15" customHeight="1">
      <c r="CW132" s="282"/>
      <c r="CX132" s="282"/>
      <c r="CY132" s="282"/>
      <c r="CZ132" s="282"/>
      <c r="DH132" s="282"/>
      <c r="DI132" s="282"/>
      <c r="DJ132" s="282"/>
      <c r="DK132" s="282"/>
      <c r="DL132" s="255"/>
      <c r="DM132" s="397"/>
      <c r="DN132" s="255"/>
      <c r="DO132" s="255"/>
      <c r="DY132" s="367">
        <v>28825</v>
      </c>
      <c r="DZ132" s="368">
        <v>22.6</v>
      </c>
      <c r="EJ132" s="282" t="s">
        <v>471</v>
      </c>
      <c r="EK132" s="282"/>
      <c r="EL132" s="282"/>
      <c r="EN132" s="282" t="s">
        <v>471</v>
      </c>
      <c r="EO132" s="282"/>
      <c r="EP132" s="282"/>
    </row>
    <row r="133" spans="101:146" ht="15" customHeight="1">
      <c r="CW133" s="282" t="s">
        <v>467</v>
      </c>
      <c r="CX133" s="282"/>
      <c r="CY133" s="282"/>
      <c r="CZ133" s="282"/>
      <c r="DH133" s="278" t="s">
        <v>424</v>
      </c>
      <c r="DI133" s="278"/>
      <c r="DJ133" s="278"/>
      <c r="DK133" s="278"/>
      <c r="DL133" s="255"/>
      <c r="DM133" s="401" t="s">
        <v>424</v>
      </c>
      <c r="DN133" s="371"/>
      <c r="DO133" s="371"/>
      <c r="DY133" s="367">
        <v>28915</v>
      </c>
      <c r="DZ133" s="368">
        <v>23</v>
      </c>
      <c r="EJ133" s="282" t="s">
        <v>745</v>
      </c>
      <c r="EK133" s="282"/>
      <c r="EL133" s="282"/>
      <c r="EN133" s="282" t="s">
        <v>746</v>
      </c>
      <c r="EO133" s="282"/>
      <c r="EP133" s="282"/>
    </row>
    <row r="134" spans="101:146" ht="15" customHeight="1">
      <c r="CW134" s="282"/>
      <c r="CX134" s="282"/>
      <c r="CY134" s="282"/>
      <c r="CZ134" s="282"/>
      <c r="DH134" s="282"/>
      <c r="DI134" s="282"/>
      <c r="DJ134" s="282"/>
      <c r="DK134" s="282"/>
      <c r="DL134" s="255"/>
      <c r="DM134" s="397"/>
      <c r="DN134" s="255"/>
      <c r="DO134" s="255"/>
      <c r="DY134" s="367">
        <v>29007</v>
      </c>
      <c r="DZ134" s="368">
        <v>23.6</v>
      </c>
      <c r="EJ134" s="282"/>
      <c r="EK134" s="282"/>
      <c r="EL134" s="282"/>
      <c r="EN134" s="282"/>
      <c r="EO134" s="282"/>
      <c r="EP134" s="282"/>
    </row>
    <row r="135" spans="101:146" ht="15" customHeight="1">
      <c r="CW135" s="282" t="s">
        <v>471</v>
      </c>
      <c r="CX135" s="282"/>
      <c r="CY135" s="282"/>
      <c r="CZ135" s="282"/>
      <c r="DH135" s="282" t="s">
        <v>438</v>
      </c>
      <c r="DI135" s="282"/>
      <c r="DJ135" s="282"/>
      <c r="DK135" s="282"/>
      <c r="DL135" s="255"/>
      <c r="DM135" s="397" t="s">
        <v>438</v>
      </c>
      <c r="DN135" s="255"/>
      <c r="DO135" s="255"/>
      <c r="DY135" s="367">
        <v>29099</v>
      </c>
      <c r="DZ135" s="368">
        <v>24.2</v>
      </c>
      <c r="EJ135" s="282" t="s">
        <v>478</v>
      </c>
      <c r="EK135" s="282"/>
      <c r="EL135" s="282"/>
      <c r="EN135" s="282" t="s">
        <v>478</v>
      </c>
      <c r="EO135" s="282"/>
      <c r="EP135" s="282"/>
    </row>
    <row r="136" spans="101:146" ht="15" customHeight="1">
      <c r="CW136" s="282" t="s">
        <v>755</v>
      </c>
      <c r="CX136" s="282"/>
      <c r="CY136" s="282"/>
      <c r="CZ136" s="282"/>
      <c r="DH136" s="282" t="s">
        <v>443</v>
      </c>
      <c r="DI136" s="282"/>
      <c r="DJ136" s="282"/>
      <c r="DK136" s="282"/>
      <c r="DL136" s="255"/>
      <c r="DM136" s="397" t="s">
        <v>443</v>
      </c>
      <c r="DN136" s="255"/>
      <c r="DO136" s="255"/>
      <c r="DY136" s="367">
        <v>29190</v>
      </c>
      <c r="DZ136" s="368">
        <v>24.9</v>
      </c>
      <c r="EJ136" s="282" t="s">
        <v>754</v>
      </c>
      <c r="EK136" s="282"/>
      <c r="EL136" s="282"/>
      <c r="EN136" s="282" t="s">
        <v>754</v>
      </c>
      <c r="EO136" s="282"/>
      <c r="EP136" s="282"/>
    </row>
    <row r="137" spans="101:146" ht="15" customHeight="1">
      <c r="CW137" s="282"/>
      <c r="CX137" s="282"/>
      <c r="CY137" s="282"/>
      <c r="CZ137" s="282"/>
      <c r="DH137" s="282" t="s">
        <v>447</v>
      </c>
      <c r="DI137" s="282"/>
      <c r="DJ137" s="282"/>
      <c r="DK137" s="282"/>
      <c r="DL137" s="255"/>
      <c r="DM137" s="397" t="s">
        <v>447</v>
      </c>
      <c r="DN137" s="255"/>
      <c r="DO137" s="255"/>
      <c r="DY137" s="367">
        <v>29281</v>
      </c>
      <c r="DZ137" s="368">
        <v>25.4</v>
      </c>
      <c r="EJ137" s="282"/>
      <c r="EK137" s="282"/>
      <c r="EL137" s="282"/>
      <c r="EN137" s="282"/>
      <c r="EO137" s="282"/>
      <c r="EP137" s="282"/>
    </row>
    <row r="138" spans="101:146" ht="15" customHeight="1">
      <c r="CW138" s="282" t="s">
        <v>478</v>
      </c>
      <c r="CX138" s="282"/>
      <c r="CY138" s="282"/>
      <c r="CZ138" s="282"/>
      <c r="DH138" s="282" t="s">
        <v>452</v>
      </c>
      <c r="DI138" s="282"/>
      <c r="DJ138" s="282"/>
      <c r="DK138" s="282"/>
      <c r="DL138" s="255"/>
      <c r="DM138" s="397" t="s">
        <v>452</v>
      </c>
      <c r="DN138" s="255"/>
      <c r="DO138" s="255"/>
      <c r="DY138" s="367">
        <v>29373</v>
      </c>
      <c r="DZ138" s="368">
        <v>26.2</v>
      </c>
      <c r="EJ138" s="282" t="s">
        <v>551</v>
      </c>
      <c r="EK138" s="282"/>
      <c r="EL138" s="282"/>
      <c r="EN138" s="282" t="s">
        <v>551</v>
      </c>
      <c r="EO138" s="282"/>
      <c r="EP138" s="282"/>
    </row>
    <row r="139" spans="101:146" ht="15" customHeight="1">
      <c r="CW139" s="282" t="s">
        <v>760</v>
      </c>
      <c r="CX139" s="282"/>
      <c r="CY139" s="282"/>
      <c r="CZ139" s="282"/>
      <c r="DH139" s="282" t="s">
        <v>456</v>
      </c>
      <c r="DI139" s="282"/>
      <c r="DJ139" s="282"/>
      <c r="DK139" s="282"/>
      <c r="DL139" s="255"/>
      <c r="DM139" s="397" t="s">
        <v>456</v>
      </c>
      <c r="DN139" s="255"/>
      <c r="DO139" s="255"/>
      <c r="DY139" s="367">
        <v>29465</v>
      </c>
      <c r="DZ139" s="368">
        <v>26.6</v>
      </c>
      <c r="EJ139" s="282" t="s">
        <v>553</v>
      </c>
      <c r="EK139" s="282"/>
      <c r="EL139" s="282"/>
      <c r="EN139" s="282" t="s">
        <v>553</v>
      </c>
      <c r="EO139" s="282"/>
      <c r="EP139" s="282"/>
    </row>
    <row r="140" spans="101:146" ht="15" customHeight="1">
      <c r="CW140" s="282"/>
      <c r="CX140" s="282"/>
      <c r="CY140" s="282"/>
      <c r="CZ140" s="282"/>
      <c r="DH140" s="282" t="s">
        <v>459</v>
      </c>
      <c r="DI140" s="282"/>
      <c r="DJ140" s="282"/>
      <c r="DK140" s="282"/>
      <c r="DL140" s="255"/>
      <c r="DM140" s="397" t="s">
        <v>459</v>
      </c>
      <c r="DN140" s="255"/>
      <c r="DO140" s="255"/>
      <c r="DY140" s="367">
        <v>29556</v>
      </c>
      <c r="DZ140" s="368">
        <v>27.2</v>
      </c>
      <c r="EJ140" s="282" t="s">
        <v>554</v>
      </c>
      <c r="EK140" s="282"/>
      <c r="EL140" s="282"/>
      <c r="EN140" s="282" t="s">
        <v>554</v>
      </c>
      <c r="EO140" s="282"/>
      <c r="EP140" s="282"/>
    </row>
    <row r="141" spans="101:146" ht="15" customHeight="1">
      <c r="CW141" s="282" t="s">
        <v>551</v>
      </c>
      <c r="CX141" s="282"/>
      <c r="CY141" s="282"/>
      <c r="CZ141" s="282"/>
      <c r="DH141" s="282" t="s">
        <v>462</v>
      </c>
      <c r="DI141" s="282"/>
      <c r="DJ141" s="282"/>
      <c r="DK141" s="282"/>
      <c r="DL141" s="255"/>
      <c r="DM141" s="397" t="s">
        <v>462</v>
      </c>
      <c r="DN141" s="255"/>
      <c r="DO141" s="255"/>
      <c r="DY141" s="367">
        <v>29646</v>
      </c>
      <c r="DZ141" s="368">
        <v>27.8</v>
      </c>
      <c r="EJ141" s="326" t="s">
        <v>555</v>
      </c>
      <c r="EK141" s="326"/>
      <c r="EL141" s="326"/>
      <c r="EN141" s="326" t="s">
        <v>555</v>
      </c>
      <c r="EO141" s="326"/>
      <c r="EP141" s="326"/>
    </row>
    <row r="142" spans="101:146" ht="15" customHeight="1">
      <c r="CW142" s="282" t="s">
        <v>553</v>
      </c>
      <c r="CX142" s="282"/>
      <c r="CY142" s="282"/>
      <c r="CZ142" s="282"/>
      <c r="DH142" s="282"/>
      <c r="DI142" s="282"/>
      <c r="DJ142" s="282"/>
      <c r="DK142" s="282"/>
      <c r="DL142" s="255"/>
      <c r="DM142" s="397"/>
      <c r="DN142" s="255"/>
      <c r="DO142" s="255"/>
      <c r="DY142" s="367">
        <v>29738</v>
      </c>
      <c r="DZ142" s="368">
        <v>28.4</v>
      </c>
      <c r="EJ142" s="282"/>
      <c r="EK142" s="282"/>
      <c r="EL142" s="282"/>
      <c r="EN142" s="282"/>
      <c r="EO142" s="282"/>
      <c r="EP142" s="282"/>
    </row>
    <row r="143" spans="101:146" ht="15" customHeight="1">
      <c r="CW143" s="282" t="s">
        <v>554</v>
      </c>
      <c r="CX143" s="282"/>
      <c r="CY143" s="282"/>
      <c r="CZ143" s="282"/>
      <c r="DH143" s="282" t="s">
        <v>467</v>
      </c>
      <c r="DI143" s="282"/>
      <c r="DJ143" s="282"/>
      <c r="DK143" s="282"/>
      <c r="DL143" s="329"/>
      <c r="DM143" s="397" t="s">
        <v>467</v>
      </c>
      <c r="DN143" s="255"/>
      <c r="DO143" s="255"/>
      <c r="DY143" s="367">
        <v>29830</v>
      </c>
      <c r="DZ143" s="368">
        <v>29</v>
      </c>
      <c r="EJ143" s="282"/>
      <c r="EK143" s="282"/>
      <c r="EL143" s="282"/>
      <c r="EN143" s="282"/>
      <c r="EO143" s="282"/>
      <c r="EP143" s="282"/>
    </row>
    <row r="144" spans="101:146">
      <c r="CW144" s="326" t="s">
        <v>555</v>
      </c>
      <c r="CX144" s="326"/>
      <c r="CY144" s="326"/>
      <c r="CZ144" s="326"/>
      <c r="DH144" s="282"/>
      <c r="DI144" s="282"/>
      <c r="DJ144" s="282"/>
      <c r="DK144" s="282"/>
      <c r="DL144" s="255"/>
      <c r="DM144" s="397"/>
      <c r="DN144" s="255"/>
      <c r="DO144" s="255"/>
      <c r="DY144" s="367">
        <v>29921</v>
      </c>
      <c r="DZ144" s="368">
        <v>30.2</v>
      </c>
    </row>
    <row r="145" spans="101:130" ht="15" customHeight="1">
      <c r="CW145" s="282"/>
      <c r="CX145" s="282"/>
      <c r="CY145" s="282"/>
      <c r="CZ145" s="282"/>
      <c r="DH145" s="282" t="s">
        <v>471</v>
      </c>
      <c r="DI145" s="282"/>
      <c r="DJ145" s="282"/>
      <c r="DK145" s="282"/>
      <c r="DL145" s="255"/>
      <c r="DM145" s="397" t="s">
        <v>471</v>
      </c>
      <c r="DN145" s="255"/>
      <c r="DO145" s="255"/>
      <c r="DY145" s="367">
        <v>30011</v>
      </c>
      <c r="DZ145" s="368">
        <v>30.8</v>
      </c>
    </row>
    <row r="146" spans="101:130">
      <c r="CW146" s="282"/>
      <c r="CX146" s="282"/>
      <c r="CY146" s="282"/>
      <c r="CZ146" s="282"/>
      <c r="DH146" s="282" t="s">
        <v>764</v>
      </c>
      <c r="DI146" s="282"/>
      <c r="DJ146" s="282"/>
      <c r="DK146" s="282"/>
      <c r="DM146" s="397" t="s">
        <v>744</v>
      </c>
      <c r="DN146" s="255"/>
      <c r="DO146" s="255"/>
      <c r="DY146" s="367">
        <v>30103</v>
      </c>
      <c r="DZ146" s="368">
        <v>31.5</v>
      </c>
    </row>
    <row r="147" spans="101:130">
      <c r="CW147" s="282" t="s">
        <v>553</v>
      </c>
      <c r="CX147" s="282"/>
      <c r="CY147" s="282"/>
      <c r="CZ147" s="282"/>
      <c r="DF147" s="255"/>
      <c r="DG147" s="255"/>
      <c r="DH147" s="282"/>
      <c r="DI147" s="282"/>
      <c r="DJ147" s="282"/>
      <c r="DK147" s="282"/>
      <c r="DM147" s="397"/>
      <c r="DN147" s="255"/>
      <c r="DO147" s="255"/>
      <c r="DY147" s="367">
        <v>30195</v>
      </c>
      <c r="DZ147" s="368">
        <v>32.6</v>
      </c>
    </row>
    <row r="148" spans="101:130" ht="15" customHeight="1">
      <c r="CW148" s="282" t="s">
        <v>554</v>
      </c>
      <c r="CX148" s="282"/>
      <c r="CY148" s="282"/>
      <c r="CZ148" s="282"/>
      <c r="DF148" s="255"/>
      <c r="DG148" s="255"/>
      <c r="DH148" s="282" t="s">
        <v>478</v>
      </c>
      <c r="DI148" s="282"/>
      <c r="DJ148" s="282"/>
      <c r="DK148" s="282"/>
      <c r="DM148" s="397" t="s">
        <v>478</v>
      </c>
      <c r="DN148" s="255"/>
      <c r="DO148" s="255"/>
      <c r="DY148" s="367">
        <v>30286</v>
      </c>
      <c r="DZ148" s="368">
        <v>33.6</v>
      </c>
    </row>
    <row r="149" spans="101:130" ht="15" customHeight="1">
      <c r="CW149" s="326" t="s">
        <v>555</v>
      </c>
      <c r="CX149" s="326"/>
      <c r="CY149" s="326"/>
      <c r="CZ149" s="326"/>
      <c r="DH149" s="282" t="s">
        <v>753</v>
      </c>
      <c r="DI149" s="282"/>
      <c r="DJ149" s="282"/>
      <c r="DK149" s="282"/>
      <c r="DM149" s="397" t="s">
        <v>753</v>
      </c>
      <c r="DN149" s="255"/>
      <c r="DO149" s="255"/>
      <c r="DY149" s="367">
        <v>30376</v>
      </c>
      <c r="DZ149" s="368">
        <v>34.299999999999997</v>
      </c>
    </row>
    <row r="150" spans="101:130">
      <c r="CW150" s="282"/>
      <c r="CX150" s="282"/>
      <c r="CY150" s="282"/>
      <c r="CZ150" s="282"/>
      <c r="DH150" s="282"/>
      <c r="DI150" s="282"/>
      <c r="DJ150" s="282"/>
      <c r="DK150" s="282"/>
      <c r="DM150" s="397"/>
      <c r="DN150" s="255"/>
      <c r="DO150" s="255"/>
      <c r="DY150" s="367">
        <v>30468</v>
      </c>
      <c r="DZ150" s="368">
        <v>35</v>
      </c>
    </row>
    <row r="151" spans="101:130" ht="15" customHeight="1">
      <c r="CW151" s="282"/>
      <c r="CX151" s="282"/>
      <c r="CY151" s="282"/>
      <c r="CZ151" s="282"/>
      <c r="DH151" s="282" t="s">
        <v>551</v>
      </c>
      <c r="DI151" s="282"/>
      <c r="DJ151" s="282"/>
      <c r="DK151" s="282"/>
      <c r="DM151" s="397" t="s">
        <v>551</v>
      </c>
      <c r="DN151" s="255"/>
      <c r="DO151" s="255"/>
      <c r="DY151" s="367">
        <v>30560</v>
      </c>
      <c r="DZ151" s="368">
        <v>35.6</v>
      </c>
    </row>
    <row r="152" spans="101:130" ht="15" customHeight="1">
      <c r="DH152" s="282" t="s">
        <v>553</v>
      </c>
      <c r="DI152" s="282"/>
      <c r="DJ152" s="282"/>
      <c r="DK152" s="282"/>
      <c r="DM152" s="397" t="s">
        <v>553</v>
      </c>
      <c r="DN152" s="255"/>
      <c r="DO152" s="255"/>
      <c r="DY152" s="367">
        <v>30651</v>
      </c>
      <c r="DZ152" s="368">
        <v>36.5</v>
      </c>
    </row>
    <row r="153" spans="101:130" ht="15" customHeight="1">
      <c r="DH153" s="282" t="s">
        <v>554</v>
      </c>
      <c r="DI153" s="282"/>
      <c r="DJ153" s="282"/>
      <c r="DK153" s="282"/>
      <c r="DM153" s="397" t="s">
        <v>554</v>
      </c>
      <c r="DN153" s="255"/>
      <c r="DO153" s="255"/>
      <c r="DY153" s="367">
        <v>30742</v>
      </c>
      <c r="DZ153" s="368">
        <v>36.299999999999997</v>
      </c>
    </row>
    <row r="154" spans="101:130" ht="15" customHeight="1">
      <c r="DH154" s="326" t="s">
        <v>555</v>
      </c>
      <c r="DI154" s="326"/>
      <c r="DJ154" s="326"/>
      <c r="DK154" s="326"/>
      <c r="DM154" s="403" t="s">
        <v>555</v>
      </c>
      <c r="DN154" s="329"/>
      <c r="DO154" s="329"/>
      <c r="DY154" s="367">
        <v>30834</v>
      </c>
      <c r="DZ154" s="368">
        <v>36.4</v>
      </c>
    </row>
    <row r="155" spans="101:130">
      <c r="DH155" s="282"/>
      <c r="DI155" s="282"/>
      <c r="DJ155" s="282"/>
      <c r="DK155" s="282"/>
      <c r="DM155" s="397"/>
      <c r="DN155" s="255"/>
      <c r="DO155" s="255"/>
      <c r="DY155" s="367">
        <v>30926</v>
      </c>
      <c r="DZ155" s="368">
        <v>36.9</v>
      </c>
    </row>
    <row r="156" spans="101:130">
      <c r="DH156" s="282"/>
      <c r="DI156" s="282"/>
      <c r="DJ156" s="282"/>
      <c r="DK156" s="282"/>
      <c r="DM156" s="255"/>
      <c r="DN156" s="255"/>
      <c r="DO156" s="255"/>
      <c r="DY156" s="367">
        <v>31017</v>
      </c>
      <c r="DZ156" s="368">
        <v>37.4</v>
      </c>
    </row>
    <row r="157" spans="101:130">
      <c r="DH157" s="282"/>
      <c r="DI157" s="282"/>
      <c r="DJ157" s="282"/>
      <c r="DK157" s="282"/>
      <c r="DY157" s="367">
        <v>31107</v>
      </c>
      <c r="DZ157" s="368">
        <v>37.9</v>
      </c>
    </row>
    <row r="158" spans="101:130">
      <c r="DH158" s="326"/>
      <c r="DI158" s="326"/>
      <c r="DJ158" s="326"/>
      <c r="DK158" s="326"/>
      <c r="DY158" s="367">
        <v>31199</v>
      </c>
      <c r="DZ158" s="368">
        <v>38.799999999999997</v>
      </c>
    </row>
    <row r="159" spans="101:130">
      <c r="DH159" s="255"/>
      <c r="DI159" s="255"/>
      <c r="DY159" s="367">
        <v>31291</v>
      </c>
      <c r="DZ159" s="368">
        <v>39.700000000000003</v>
      </c>
    </row>
    <row r="160" spans="101:130">
      <c r="DH160" s="255"/>
      <c r="DI160" s="255"/>
      <c r="DY160" s="367">
        <v>31382</v>
      </c>
      <c r="DZ160" s="368">
        <v>40.5</v>
      </c>
    </row>
    <row r="161" spans="129:130">
      <c r="DY161" s="367">
        <v>31472</v>
      </c>
      <c r="DZ161" s="368">
        <v>41.4</v>
      </c>
    </row>
    <row r="162" spans="129:130">
      <c r="DY162" s="367">
        <v>31564</v>
      </c>
      <c r="DZ162" s="368">
        <v>42.1</v>
      </c>
    </row>
    <row r="163" spans="129:130">
      <c r="DY163" s="367">
        <v>31656</v>
      </c>
      <c r="DZ163" s="368">
        <v>43.2</v>
      </c>
    </row>
    <row r="164" spans="129:130">
      <c r="DY164" s="367">
        <v>31747</v>
      </c>
      <c r="DZ164" s="368">
        <v>44.4</v>
      </c>
    </row>
    <row r="165" spans="129:130">
      <c r="DY165" s="367">
        <v>31837</v>
      </c>
      <c r="DZ165" s="368">
        <v>45.3</v>
      </c>
    </row>
    <row r="166" spans="129:130">
      <c r="DY166" s="367">
        <v>31929</v>
      </c>
      <c r="DZ166" s="368">
        <v>46</v>
      </c>
    </row>
    <row r="167" spans="129:130">
      <c r="DY167" s="367">
        <v>32021</v>
      </c>
      <c r="DZ167" s="368">
        <v>46.8</v>
      </c>
    </row>
    <row r="168" spans="129:130">
      <c r="DY168" s="367">
        <v>32112</v>
      </c>
      <c r="DZ168" s="368">
        <v>47.6</v>
      </c>
    </row>
    <row r="169" spans="129:130">
      <c r="DY169" s="367">
        <v>32203</v>
      </c>
      <c r="DZ169" s="368">
        <v>48.4</v>
      </c>
    </row>
    <row r="170" spans="129:130">
      <c r="DY170" s="367">
        <v>32295</v>
      </c>
      <c r="DZ170" s="368">
        <v>49.3</v>
      </c>
    </row>
    <row r="171" spans="129:130">
      <c r="DY171" s="367">
        <v>32387</v>
      </c>
      <c r="DZ171" s="368">
        <v>50.2</v>
      </c>
    </row>
    <row r="172" spans="129:130">
      <c r="DY172" s="367">
        <v>32478</v>
      </c>
      <c r="DZ172" s="368">
        <v>51.2</v>
      </c>
    </row>
    <row r="173" spans="129:130">
      <c r="DY173" s="367">
        <v>32568</v>
      </c>
      <c r="DZ173" s="368">
        <v>51.7</v>
      </c>
    </row>
    <row r="174" spans="129:130">
      <c r="DY174" s="367">
        <v>32660</v>
      </c>
      <c r="DZ174" s="368">
        <v>53</v>
      </c>
    </row>
    <row r="175" spans="129:130">
      <c r="DY175" s="367">
        <v>32752</v>
      </c>
      <c r="DZ175" s="368">
        <v>54.2</v>
      </c>
    </row>
    <row r="176" spans="129:130">
      <c r="DY176" s="367">
        <v>32843</v>
      </c>
      <c r="DZ176" s="368">
        <v>55.2</v>
      </c>
    </row>
    <row r="177" spans="129:130">
      <c r="DY177" s="367">
        <v>32933</v>
      </c>
      <c r="DZ177" s="368">
        <v>56.2</v>
      </c>
    </row>
    <row r="178" spans="129:130">
      <c r="DY178" s="367">
        <v>33025</v>
      </c>
      <c r="DZ178" s="368">
        <v>57.1</v>
      </c>
    </row>
    <row r="179" spans="129:130">
      <c r="DY179" s="367">
        <v>33117</v>
      </c>
      <c r="DZ179" s="368">
        <v>57.5</v>
      </c>
    </row>
    <row r="180" spans="129:130">
      <c r="DY180" s="367">
        <v>33208</v>
      </c>
      <c r="DZ180" s="368">
        <v>59</v>
      </c>
    </row>
    <row r="181" spans="129:130">
      <c r="DY181" s="367">
        <v>33298</v>
      </c>
      <c r="DZ181" s="368">
        <v>58.9</v>
      </c>
    </row>
    <row r="182" spans="129:130">
      <c r="DY182" s="367">
        <v>33390</v>
      </c>
      <c r="DZ182" s="368">
        <v>59</v>
      </c>
    </row>
    <row r="183" spans="129:130">
      <c r="DY183" s="367">
        <v>33482</v>
      </c>
      <c r="DZ183" s="368">
        <v>59.3</v>
      </c>
    </row>
    <row r="184" spans="129:130">
      <c r="DY184" s="367">
        <v>33573</v>
      </c>
      <c r="DZ184" s="368">
        <v>59.9</v>
      </c>
    </row>
    <row r="185" spans="129:130">
      <c r="DY185" s="367">
        <v>33664</v>
      </c>
      <c r="DZ185" s="368">
        <v>59.9</v>
      </c>
    </row>
    <row r="186" spans="129:130">
      <c r="DY186" s="367">
        <v>33756</v>
      </c>
      <c r="DZ186" s="368">
        <v>59.7</v>
      </c>
    </row>
    <row r="187" spans="129:130">
      <c r="DY187" s="367">
        <v>33848</v>
      </c>
      <c r="DZ187" s="368">
        <v>59.8</v>
      </c>
    </row>
    <row r="188" spans="129:130">
      <c r="DY188" s="367">
        <v>33939</v>
      </c>
      <c r="DZ188" s="368">
        <v>60.1</v>
      </c>
    </row>
    <row r="189" spans="129:130">
      <c r="DY189" s="367">
        <v>34029</v>
      </c>
      <c r="DZ189" s="368">
        <v>60.6</v>
      </c>
    </row>
    <row r="190" spans="129:130">
      <c r="DY190" s="367">
        <v>34121</v>
      </c>
      <c r="DZ190" s="368">
        <v>60.8</v>
      </c>
    </row>
    <row r="191" spans="129:130">
      <c r="DY191" s="367">
        <v>34213</v>
      </c>
      <c r="DZ191" s="368">
        <v>61.1</v>
      </c>
    </row>
    <row r="192" spans="129:130">
      <c r="DY192" s="367">
        <v>34304</v>
      </c>
      <c r="DZ192" s="368">
        <v>61.2</v>
      </c>
    </row>
    <row r="193" spans="129:130">
      <c r="DY193" s="367">
        <v>34394</v>
      </c>
      <c r="DZ193" s="368">
        <v>61.5</v>
      </c>
    </row>
    <row r="194" spans="129:130">
      <c r="DY194" s="367">
        <v>34486</v>
      </c>
      <c r="DZ194" s="368">
        <v>61.9</v>
      </c>
    </row>
    <row r="195" spans="129:130">
      <c r="DY195" s="367">
        <v>34578</v>
      </c>
      <c r="DZ195" s="368">
        <v>62.3</v>
      </c>
    </row>
    <row r="196" spans="129:130">
      <c r="DY196" s="367">
        <v>34669</v>
      </c>
      <c r="DZ196" s="368">
        <v>62.8</v>
      </c>
    </row>
    <row r="197" spans="129:130">
      <c r="DY197" s="367">
        <v>34759</v>
      </c>
      <c r="DZ197" s="368">
        <v>63.8</v>
      </c>
    </row>
    <row r="198" spans="129:130">
      <c r="DY198" s="367">
        <v>34851</v>
      </c>
      <c r="DZ198" s="368">
        <v>64.7</v>
      </c>
    </row>
    <row r="199" spans="129:130">
      <c r="DY199" s="367">
        <v>34943</v>
      </c>
      <c r="DZ199" s="368">
        <v>65.5</v>
      </c>
    </row>
    <row r="200" spans="129:130">
      <c r="DY200" s="367">
        <v>35034</v>
      </c>
      <c r="DZ200" s="368">
        <v>66</v>
      </c>
    </row>
    <row r="201" spans="129:130">
      <c r="DY201" s="367">
        <v>35125</v>
      </c>
      <c r="DZ201" s="368">
        <v>66.2</v>
      </c>
    </row>
    <row r="202" spans="129:130">
      <c r="DY202" s="367">
        <v>35217</v>
      </c>
      <c r="DZ202" s="368">
        <v>66.7</v>
      </c>
    </row>
    <row r="203" spans="129:130">
      <c r="DY203" s="367">
        <v>35309</v>
      </c>
      <c r="DZ203" s="368">
        <v>66.900000000000006</v>
      </c>
    </row>
    <row r="204" spans="129:130">
      <c r="DY204" s="367">
        <v>35400</v>
      </c>
      <c r="DZ204" s="368">
        <v>67</v>
      </c>
    </row>
    <row r="205" spans="129:130">
      <c r="DY205" s="367">
        <v>35490</v>
      </c>
      <c r="DZ205" s="368">
        <v>67.099999999999994</v>
      </c>
    </row>
    <row r="206" spans="129:130">
      <c r="DY206" s="367">
        <v>35582</v>
      </c>
      <c r="DZ206" s="368">
        <v>66.900000000000006</v>
      </c>
    </row>
    <row r="207" spans="129:130">
      <c r="DY207" s="367">
        <v>35674</v>
      </c>
      <c r="DZ207" s="368">
        <v>66.599999999999994</v>
      </c>
    </row>
    <row r="208" spans="129:130">
      <c r="DY208" s="367">
        <v>35765</v>
      </c>
      <c r="DZ208" s="368">
        <v>66.8</v>
      </c>
    </row>
    <row r="209" spans="129:130">
      <c r="DY209" s="367">
        <v>35855</v>
      </c>
      <c r="DZ209" s="368">
        <v>67</v>
      </c>
    </row>
    <row r="210" spans="129:130">
      <c r="DY210" s="367">
        <v>35947</v>
      </c>
      <c r="DZ210" s="368">
        <v>67.400000000000006</v>
      </c>
    </row>
    <row r="211" spans="129:130">
      <c r="DY211" s="367">
        <v>36039</v>
      </c>
      <c r="DZ211" s="368">
        <v>67.5</v>
      </c>
    </row>
    <row r="212" spans="129:130">
      <c r="DY212" s="367">
        <v>36130</v>
      </c>
      <c r="DZ212" s="368">
        <v>67.8</v>
      </c>
    </row>
    <row r="213" spans="129:130">
      <c r="DY213" s="367">
        <v>36220</v>
      </c>
      <c r="DZ213" s="368">
        <v>67.8</v>
      </c>
    </row>
    <row r="214" spans="129:130">
      <c r="DY214" s="367">
        <v>36312</v>
      </c>
      <c r="DZ214" s="368">
        <v>68.099999999999994</v>
      </c>
    </row>
    <row r="215" spans="129:130">
      <c r="DY215" s="367">
        <v>36404</v>
      </c>
      <c r="DZ215" s="368">
        <v>68.7</v>
      </c>
    </row>
    <row r="216" spans="129:130">
      <c r="DY216" s="367">
        <v>36495</v>
      </c>
      <c r="DZ216" s="368">
        <v>69.099999999999994</v>
      </c>
    </row>
    <row r="217" spans="129:130">
      <c r="DY217" s="367">
        <v>36586</v>
      </c>
      <c r="DZ217" s="368">
        <v>69.7</v>
      </c>
    </row>
    <row r="218" spans="129:130">
      <c r="DY218" s="367">
        <v>36678</v>
      </c>
      <c r="DZ218" s="368">
        <v>70.2</v>
      </c>
    </row>
    <row r="219" spans="129:130">
      <c r="DY219" s="367">
        <v>36770</v>
      </c>
      <c r="DZ219" s="368">
        <v>72.900000000000006</v>
      </c>
    </row>
    <row r="220" spans="129:130">
      <c r="DY220" s="367">
        <v>36861</v>
      </c>
      <c r="DZ220" s="368">
        <v>73.099999999999994</v>
      </c>
    </row>
    <row r="221" spans="129:130">
      <c r="DY221" s="367">
        <v>36951</v>
      </c>
      <c r="DZ221" s="368">
        <v>73.900000000000006</v>
      </c>
    </row>
    <row r="222" spans="129:130">
      <c r="DY222" s="367">
        <v>37043</v>
      </c>
      <c r="DZ222" s="368">
        <v>74.5</v>
      </c>
    </row>
    <row r="223" spans="129:130">
      <c r="DY223" s="367">
        <v>37135</v>
      </c>
      <c r="DZ223" s="368">
        <v>74.7</v>
      </c>
    </row>
    <row r="224" spans="129:130">
      <c r="DY224" s="367">
        <v>37226</v>
      </c>
      <c r="DZ224" s="368">
        <v>75.400000000000006</v>
      </c>
    </row>
    <row r="225" spans="129:130">
      <c r="DY225" s="367">
        <v>37316</v>
      </c>
      <c r="DZ225" s="368">
        <v>76.099999999999994</v>
      </c>
    </row>
    <row r="226" spans="129:130">
      <c r="DY226" s="367">
        <v>37408</v>
      </c>
      <c r="DZ226" s="368">
        <v>76.599999999999994</v>
      </c>
    </row>
    <row r="227" spans="129:130">
      <c r="DY227" s="367">
        <v>37500</v>
      </c>
      <c r="DZ227" s="368">
        <v>77.099999999999994</v>
      </c>
    </row>
    <row r="228" spans="129:130">
      <c r="DY228" s="367">
        <v>37591</v>
      </c>
      <c r="DZ228" s="368">
        <v>77.599999999999994</v>
      </c>
    </row>
    <row r="229" spans="129:130">
      <c r="DY229" s="367">
        <v>37681</v>
      </c>
      <c r="DZ229" s="368">
        <v>78.599999999999994</v>
      </c>
    </row>
    <row r="230" spans="129:130">
      <c r="DY230" s="367">
        <v>37773</v>
      </c>
      <c r="DZ230" s="368">
        <v>78.599999999999994</v>
      </c>
    </row>
    <row r="231" spans="129:130">
      <c r="DY231" s="367">
        <v>37865</v>
      </c>
      <c r="DZ231" s="368">
        <v>79.099999999999994</v>
      </c>
    </row>
    <row r="232" spans="129:130">
      <c r="DY232" s="367">
        <v>37956</v>
      </c>
      <c r="DZ232" s="368">
        <v>79.5</v>
      </c>
    </row>
    <row r="233" spans="129:130">
      <c r="DY233" s="367">
        <v>38047</v>
      </c>
      <c r="DZ233" s="368">
        <v>80.2</v>
      </c>
    </row>
    <row r="234" spans="129:130">
      <c r="DY234" s="367">
        <v>38139</v>
      </c>
      <c r="DZ234" s="368">
        <v>80.599999999999994</v>
      </c>
    </row>
    <row r="235" spans="129:130">
      <c r="DY235" s="367">
        <v>38231</v>
      </c>
      <c r="DZ235" s="368">
        <v>80.900000000000006</v>
      </c>
    </row>
    <row r="236" spans="129:130">
      <c r="DY236" s="367">
        <v>38322</v>
      </c>
      <c r="DZ236" s="368">
        <v>81.5</v>
      </c>
    </row>
    <row r="237" spans="129:130">
      <c r="DY237" s="367">
        <v>38412</v>
      </c>
      <c r="DZ237" s="368">
        <v>82.1</v>
      </c>
    </row>
    <row r="238" spans="129:130">
      <c r="DY238" s="367">
        <v>38504</v>
      </c>
      <c r="DZ238" s="368">
        <v>82.6</v>
      </c>
    </row>
    <row r="239" spans="129:130">
      <c r="DY239" s="367">
        <v>38596</v>
      </c>
      <c r="DZ239" s="368">
        <v>83.4</v>
      </c>
    </row>
    <row r="240" spans="129:130">
      <c r="DY240" s="367">
        <v>38687</v>
      </c>
      <c r="DZ240" s="368">
        <v>83.8</v>
      </c>
    </row>
    <row r="241" spans="129:130">
      <c r="DY241" s="367">
        <v>38777</v>
      </c>
      <c r="DZ241" s="368">
        <v>84.5</v>
      </c>
    </row>
    <row r="242" spans="129:130">
      <c r="DY242" s="367">
        <v>38869</v>
      </c>
      <c r="DZ242" s="368">
        <v>85.9</v>
      </c>
    </row>
    <row r="243" spans="129:130">
      <c r="DY243" s="367">
        <v>38961</v>
      </c>
      <c r="DZ243" s="368">
        <v>86.7</v>
      </c>
    </row>
    <row r="244" spans="129:130">
      <c r="DY244" s="367">
        <v>39052</v>
      </c>
      <c r="DZ244" s="368">
        <v>86.6</v>
      </c>
    </row>
    <row r="245" spans="129:130">
      <c r="DY245" s="367">
        <v>39142</v>
      </c>
      <c r="DZ245" s="368">
        <v>86.6</v>
      </c>
    </row>
    <row r="246" spans="129:130">
      <c r="DY246" s="367">
        <v>39234</v>
      </c>
      <c r="DZ246" s="368">
        <v>87.7</v>
      </c>
    </row>
    <row r="247" spans="129:130">
      <c r="DY247" s="367">
        <v>39326</v>
      </c>
      <c r="DZ247" s="368">
        <v>88.3</v>
      </c>
    </row>
    <row r="248" spans="129:130">
      <c r="DY248" s="367">
        <v>39417</v>
      </c>
      <c r="DZ248" s="368">
        <v>89.1</v>
      </c>
    </row>
    <row r="249" spans="129:130">
      <c r="DY249" s="367">
        <v>39508</v>
      </c>
      <c r="DZ249" s="368">
        <v>90.3</v>
      </c>
    </row>
    <row r="250" spans="129:130">
      <c r="DY250" s="367">
        <v>39600</v>
      </c>
      <c r="DZ250" s="368">
        <v>91.6</v>
      </c>
    </row>
    <row r="251" spans="129:130">
      <c r="DY251" s="367">
        <v>39692</v>
      </c>
      <c r="DZ251" s="368">
        <v>92.7</v>
      </c>
    </row>
    <row r="252" spans="129:130">
      <c r="DY252" s="367">
        <v>39783</v>
      </c>
      <c r="DZ252" s="368">
        <v>92.4</v>
      </c>
    </row>
    <row r="253" spans="129:130">
      <c r="DY253" s="367">
        <v>39873</v>
      </c>
      <c r="DZ253" s="368">
        <v>92.5</v>
      </c>
    </row>
    <row r="254" spans="129:130">
      <c r="DY254" s="367">
        <v>39965</v>
      </c>
      <c r="DZ254" s="368">
        <v>92.9</v>
      </c>
    </row>
    <row r="255" spans="129:130">
      <c r="DY255" s="367">
        <v>40057</v>
      </c>
      <c r="DZ255" s="368">
        <v>93.8</v>
      </c>
    </row>
    <row r="256" spans="129:130">
      <c r="DY256" s="367">
        <v>40148</v>
      </c>
      <c r="DZ256" s="368">
        <v>94.3</v>
      </c>
    </row>
    <row r="257" spans="129:130">
      <c r="DY257" s="367">
        <v>40238</v>
      </c>
      <c r="DZ257" s="368">
        <v>95.2</v>
      </c>
    </row>
    <row r="258" spans="129:130">
      <c r="DY258" s="367">
        <v>40330</v>
      </c>
      <c r="DZ258" s="368">
        <v>95.8</v>
      </c>
    </row>
    <row r="259" spans="129:130">
      <c r="DY259" s="367">
        <v>40422</v>
      </c>
      <c r="DZ259" s="368">
        <v>96.5</v>
      </c>
    </row>
    <row r="260" spans="129:130">
      <c r="DY260" s="367">
        <v>40513</v>
      </c>
      <c r="DZ260" s="368">
        <v>96.9</v>
      </c>
    </row>
    <row r="261" spans="129:130">
      <c r="DY261" s="367">
        <v>40603</v>
      </c>
      <c r="DZ261" s="368">
        <v>98.3</v>
      </c>
    </row>
    <row r="262" spans="129:130">
      <c r="DY262" s="367">
        <v>40695</v>
      </c>
      <c r="DZ262" s="368">
        <v>99.2</v>
      </c>
    </row>
    <row r="263" spans="129:130">
      <c r="DY263" s="367">
        <v>40787</v>
      </c>
      <c r="DZ263" s="368">
        <v>99.8</v>
      </c>
    </row>
    <row r="264" spans="129:130">
      <c r="DY264" s="367">
        <v>40878</v>
      </c>
      <c r="DZ264" s="368">
        <v>99.8</v>
      </c>
    </row>
    <row r="265" spans="129:130">
      <c r="DY265" s="367">
        <v>40969</v>
      </c>
      <c r="DZ265" s="368">
        <v>99.9</v>
      </c>
    </row>
    <row r="266" spans="129:130">
      <c r="DY266" s="367">
        <v>41061</v>
      </c>
      <c r="DZ266" s="368">
        <v>100.4</v>
      </c>
    </row>
    <row r="267" spans="129:130">
      <c r="DY267" s="367">
        <v>41153</v>
      </c>
      <c r="DZ267" s="368">
        <v>101.8</v>
      </c>
    </row>
    <row r="268" spans="129:130">
      <c r="DY268" s="367">
        <v>41244</v>
      </c>
      <c r="DZ268" s="368">
        <v>102</v>
      </c>
    </row>
    <row r="269" spans="129:130">
      <c r="DY269" s="367">
        <v>41334</v>
      </c>
      <c r="DZ269" s="368">
        <v>102.4</v>
      </c>
    </row>
    <row r="270" spans="129:130">
      <c r="DY270" s="367">
        <v>41426</v>
      </c>
      <c r="DZ270" s="368">
        <v>102.8</v>
      </c>
    </row>
    <row r="271" spans="129:130">
      <c r="DY271" s="367">
        <v>41518</v>
      </c>
      <c r="DZ271" s="368">
        <v>104</v>
      </c>
    </row>
    <row r="272" spans="129:130">
      <c r="DY272" s="367">
        <v>41609</v>
      </c>
      <c r="DZ272" s="368">
        <v>104.8</v>
      </c>
    </row>
    <row r="273" spans="129:130">
      <c r="DY273" s="367">
        <v>41699</v>
      </c>
      <c r="DZ273" s="368">
        <v>105.4</v>
      </c>
    </row>
    <row r="274" spans="129:130">
      <c r="DY274" s="367">
        <v>41791</v>
      </c>
      <c r="DZ274" s="368">
        <v>105.9</v>
      </c>
    </row>
    <row r="275" spans="129:130">
      <c r="DY275" s="367">
        <v>41883</v>
      </c>
      <c r="DZ275" s="368">
        <v>106.4</v>
      </c>
    </row>
    <row r="276" spans="129:130">
      <c r="DY276" s="367">
        <v>41974</v>
      </c>
      <c r="DZ276" s="368">
        <v>106.6</v>
      </c>
    </row>
    <row r="277" spans="129:130">
      <c r="DY277" s="367">
        <v>42064</v>
      </c>
      <c r="DZ277" s="368">
        <v>106.8</v>
      </c>
    </row>
    <row r="278" spans="129:130">
      <c r="DY278" s="367">
        <v>42156</v>
      </c>
      <c r="DZ278" s="368">
        <v>107.5</v>
      </c>
    </row>
    <row r="279" spans="129:130">
      <c r="DY279" s="367">
        <v>42248</v>
      </c>
      <c r="DZ279" s="368">
        <v>108</v>
      </c>
    </row>
    <row r="280" spans="129:130">
      <c r="DY280" s="367">
        <v>42339</v>
      </c>
      <c r="DZ280" s="368">
        <v>108.4</v>
      </c>
    </row>
    <row r="281" spans="129:130">
      <c r="DY281" s="367">
        <v>42430</v>
      </c>
      <c r="DZ281" s="368">
        <v>108.2</v>
      </c>
    </row>
    <row r="282" spans="129:130">
      <c r="DY282" s="367">
        <v>42522</v>
      </c>
      <c r="DZ282" s="368">
        <v>108.6</v>
      </c>
    </row>
    <row r="283" spans="129:130">
      <c r="DY283" s="367">
        <v>42614</v>
      </c>
      <c r="DZ283" s="368">
        <v>109.4</v>
      </c>
    </row>
    <row r="284" spans="129:130">
      <c r="DY284" s="367">
        <v>42705</v>
      </c>
      <c r="DZ284" s="368">
        <v>110</v>
      </c>
    </row>
    <row r="285" spans="129:130">
      <c r="DY285" s="367">
        <v>42795</v>
      </c>
      <c r="DZ285" s="368">
        <v>110.5</v>
      </c>
    </row>
    <row r="286" spans="129:130">
      <c r="DY286" s="367">
        <v>42887</v>
      </c>
      <c r="DZ286">
        <v>110.7</v>
      </c>
    </row>
    <row r="287" spans="129:130">
      <c r="DY287" s="367">
        <v>42979</v>
      </c>
      <c r="DZ287">
        <v>111.4</v>
      </c>
    </row>
    <row r="288" spans="129:130">
      <c r="DY288" s="367">
        <v>43070</v>
      </c>
      <c r="DZ288">
        <v>112.1</v>
      </c>
    </row>
    <row r="289" spans="129:130">
      <c r="DY289" s="367">
        <v>43160</v>
      </c>
      <c r="DZ289">
        <v>112.6</v>
      </c>
    </row>
    <row r="290" spans="129:130">
      <c r="DY290" s="367">
        <v>43252</v>
      </c>
      <c r="DZ290">
        <v>113</v>
      </c>
    </row>
    <row r="291" spans="129:130">
      <c r="DY291" s="367">
        <v>43344</v>
      </c>
      <c r="DZ291">
        <v>113.5</v>
      </c>
    </row>
    <row r="292" spans="129:130">
      <c r="DY292" s="367">
        <v>43435</v>
      </c>
      <c r="DZ292">
        <v>114.1</v>
      </c>
    </row>
  </sheetData>
  <mergeCells count="531">
    <mergeCell ref="DH156:DK156"/>
    <mergeCell ref="DH157:DK157"/>
    <mergeCell ref="DH158:DK158"/>
    <mergeCell ref="CW151:CZ151"/>
    <mergeCell ref="DH151:DK151"/>
    <mergeCell ref="DH152:DK152"/>
    <mergeCell ref="DH153:DK153"/>
    <mergeCell ref="DH154:DK154"/>
    <mergeCell ref="DH155:DK155"/>
    <mergeCell ref="CW148:CZ148"/>
    <mergeCell ref="DH148:DK148"/>
    <mergeCell ref="CW149:CZ149"/>
    <mergeCell ref="DH149:DK149"/>
    <mergeCell ref="CW150:CZ150"/>
    <mergeCell ref="DH150:DK150"/>
    <mergeCell ref="CW145:CZ145"/>
    <mergeCell ref="DH145:DK145"/>
    <mergeCell ref="CW146:CZ146"/>
    <mergeCell ref="DH146:DK146"/>
    <mergeCell ref="CW147:CZ147"/>
    <mergeCell ref="DH147:DK147"/>
    <mergeCell ref="CW143:CZ143"/>
    <mergeCell ref="DH143:DK143"/>
    <mergeCell ref="EJ143:EL143"/>
    <mergeCell ref="EN143:EP143"/>
    <mergeCell ref="CW144:CZ144"/>
    <mergeCell ref="DH144:DK144"/>
    <mergeCell ref="CW141:CZ141"/>
    <mergeCell ref="DH141:DK141"/>
    <mergeCell ref="EJ141:EL141"/>
    <mergeCell ref="EN141:EP141"/>
    <mergeCell ref="CW142:CZ142"/>
    <mergeCell ref="DH142:DK142"/>
    <mergeCell ref="EJ142:EL142"/>
    <mergeCell ref="EN142:EP142"/>
    <mergeCell ref="CW139:CZ139"/>
    <mergeCell ref="DH139:DK139"/>
    <mergeCell ref="EJ139:EL139"/>
    <mergeCell ref="EN139:EP139"/>
    <mergeCell ref="CW140:CZ140"/>
    <mergeCell ref="DH140:DK140"/>
    <mergeCell ref="EJ140:EL140"/>
    <mergeCell ref="EN140:EP140"/>
    <mergeCell ref="CW137:CZ137"/>
    <mergeCell ref="DH137:DK137"/>
    <mergeCell ref="EJ137:EL137"/>
    <mergeCell ref="EN137:EP137"/>
    <mergeCell ref="CW138:CZ138"/>
    <mergeCell ref="DH138:DK138"/>
    <mergeCell ref="EJ138:EL138"/>
    <mergeCell ref="EN138:EP138"/>
    <mergeCell ref="CW135:CZ135"/>
    <mergeCell ref="DH135:DK135"/>
    <mergeCell ref="EJ135:EL135"/>
    <mergeCell ref="EN135:EP135"/>
    <mergeCell ref="CW136:CZ136"/>
    <mergeCell ref="DH136:DK136"/>
    <mergeCell ref="EJ136:EL136"/>
    <mergeCell ref="EN136:EP136"/>
    <mergeCell ref="CW133:CZ133"/>
    <mergeCell ref="DH133:DK133"/>
    <mergeCell ref="EJ133:EL133"/>
    <mergeCell ref="EN133:EP133"/>
    <mergeCell ref="CW134:CZ134"/>
    <mergeCell ref="DH134:DK134"/>
    <mergeCell ref="EJ134:EL134"/>
    <mergeCell ref="EN134:EP134"/>
    <mergeCell ref="CW131:CZ131"/>
    <mergeCell ref="DH131:DK131"/>
    <mergeCell ref="EJ131:EL131"/>
    <mergeCell ref="EN131:EP131"/>
    <mergeCell ref="CW132:CZ132"/>
    <mergeCell ref="DH132:DK132"/>
    <mergeCell ref="EJ132:EL132"/>
    <mergeCell ref="EN132:EP132"/>
    <mergeCell ref="CW129:CZ129"/>
    <mergeCell ref="DH129:DK129"/>
    <mergeCell ref="EJ129:EL129"/>
    <mergeCell ref="EN129:EP129"/>
    <mergeCell ref="CW130:CZ130"/>
    <mergeCell ref="DH130:DK130"/>
    <mergeCell ref="EJ130:EL130"/>
    <mergeCell ref="EN130:EP130"/>
    <mergeCell ref="CW127:CZ127"/>
    <mergeCell ref="EJ127:EL127"/>
    <mergeCell ref="EN127:EP127"/>
    <mergeCell ref="CW128:CZ128"/>
    <mergeCell ref="EJ128:EL128"/>
    <mergeCell ref="EN128:EP128"/>
    <mergeCell ref="CW125:CZ125"/>
    <mergeCell ref="EJ125:EL125"/>
    <mergeCell ref="EN125:EP125"/>
    <mergeCell ref="CW126:CZ126"/>
    <mergeCell ref="EJ126:EL126"/>
    <mergeCell ref="EN126:EP126"/>
    <mergeCell ref="CW123:CZ123"/>
    <mergeCell ref="EJ123:EL123"/>
    <mergeCell ref="EN123:EP123"/>
    <mergeCell ref="CW124:CZ124"/>
    <mergeCell ref="EJ124:EL124"/>
    <mergeCell ref="EN124:EP124"/>
    <mergeCell ref="CW121:CZ121"/>
    <mergeCell ref="EJ121:EL121"/>
    <mergeCell ref="EN121:EP121"/>
    <mergeCell ref="CW122:CZ122"/>
    <mergeCell ref="EJ122:EL122"/>
    <mergeCell ref="EN122:EP122"/>
    <mergeCell ref="CW119:CZ119"/>
    <mergeCell ref="EJ119:EL119"/>
    <mergeCell ref="EN119:EP119"/>
    <mergeCell ref="CW120:CZ120"/>
    <mergeCell ref="EJ120:EL120"/>
    <mergeCell ref="EN120:EP120"/>
    <mergeCell ref="EN116:EP116"/>
    <mergeCell ref="CW117:CZ117"/>
    <mergeCell ref="EJ117:EL117"/>
    <mergeCell ref="EN117:EP117"/>
    <mergeCell ref="CW118:CZ118"/>
    <mergeCell ref="EJ118:EL118"/>
    <mergeCell ref="EN118:EP118"/>
    <mergeCell ref="N101:O101"/>
    <mergeCell ref="BV101:BY101"/>
    <mergeCell ref="CL101:CN101"/>
    <mergeCell ref="CO101:CP101"/>
    <mergeCell ref="CW116:CZ116"/>
    <mergeCell ref="EJ116:EL116"/>
    <mergeCell ref="CO99:CP99"/>
    <mergeCell ref="N100:O100"/>
    <mergeCell ref="V100:W100"/>
    <mergeCell ref="BC100:BF100"/>
    <mergeCell ref="BV100:BY100"/>
    <mergeCell ref="CL100:CN100"/>
    <mergeCell ref="CO100:CP100"/>
    <mergeCell ref="N99:O99"/>
    <mergeCell ref="V99:W99"/>
    <mergeCell ref="BC99:BF99"/>
    <mergeCell ref="BV99:BY99"/>
    <mergeCell ref="CD99:CF99"/>
    <mergeCell ref="CL99:CN99"/>
    <mergeCell ref="CL97:CN97"/>
    <mergeCell ref="CO97:CP97"/>
    <mergeCell ref="B98:C98"/>
    <mergeCell ref="N98:O98"/>
    <mergeCell ref="V98:W98"/>
    <mergeCell ref="BC98:BF98"/>
    <mergeCell ref="BV98:BY98"/>
    <mergeCell ref="CD98:CF98"/>
    <mergeCell ref="CL98:CN98"/>
    <mergeCell ref="CO98:CP98"/>
    <mergeCell ref="AO97:AR97"/>
    <mergeCell ref="AT97:AU97"/>
    <mergeCell ref="AX97:AY97"/>
    <mergeCell ref="BC97:BF97"/>
    <mergeCell ref="BV97:BY97"/>
    <mergeCell ref="CD97:CF97"/>
    <mergeCell ref="BC96:BF96"/>
    <mergeCell ref="BV96:BY96"/>
    <mergeCell ref="CD96:CF96"/>
    <mergeCell ref="CL96:CN96"/>
    <mergeCell ref="CO96:CP96"/>
    <mergeCell ref="B97:C97"/>
    <mergeCell ref="F97:I97"/>
    <mergeCell ref="N97:O97"/>
    <mergeCell ref="V97:W97"/>
    <mergeCell ref="AJ97:AM97"/>
    <mergeCell ref="B96:C96"/>
    <mergeCell ref="F96:I96"/>
    <mergeCell ref="N96:O96"/>
    <mergeCell ref="V96:W96"/>
    <mergeCell ref="AT96:AU96"/>
    <mergeCell ref="AX96:AY96"/>
    <mergeCell ref="AX95:AY95"/>
    <mergeCell ref="BC95:BF95"/>
    <mergeCell ref="BV95:BY95"/>
    <mergeCell ref="CD95:CF95"/>
    <mergeCell ref="CL95:CN95"/>
    <mergeCell ref="CO95:CP95"/>
    <mergeCell ref="BC94:BF94"/>
    <mergeCell ref="BV94:BY94"/>
    <mergeCell ref="CD94:CF94"/>
    <mergeCell ref="CL94:CN94"/>
    <mergeCell ref="CO94:CP94"/>
    <mergeCell ref="B95:C95"/>
    <mergeCell ref="F95:I95"/>
    <mergeCell ref="N95:O95"/>
    <mergeCell ref="V95:W95"/>
    <mergeCell ref="AT95:AU95"/>
    <mergeCell ref="B94:C94"/>
    <mergeCell ref="F94:I94"/>
    <mergeCell ref="N94:O94"/>
    <mergeCell ref="V94:W94"/>
    <mergeCell ref="AT94:AU94"/>
    <mergeCell ref="AX94:AY94"/>
    <mergeCell ref="AX93:AY93"/>
    <mergeCell ref="BC93:BF93"/>
    <mergeCell ref="BV93:BY93"/>
    <mergeCell ref="CD93:CF93"/>
    <mergeCell ref="CL93:CN93"/>
    <mergeCell ref="CO93:CP93"/>
    <mergeCell ref="BC92:BF92"/>
    <mergeCell ref="BV92:BY92"/>
    <mergeCell ref="CD92:CF92"/>
    <mergeCell ref="CL92:CN92"/>
    <mergeCell ref="CO92:CP92"/>
    <mergeCell ref="B93:C93"/>
    <mergeCell ref="F93:I93"/>
    <mergeCell ref="N93:O93"/>
    <mergeCell ref="V93:W93"/>
    <mergeCell ref="AT93:AU93"/>
    <mergeCell ref="B92:C92"/>
    <mergeCell ref="F92:I92"/>
    <mergeCell ref="N92:O92"/>
    <mergeCell ref="V92:W92"/>
    <mergeCell ref="AT92:AU92"/>
    <mergeCell ref="AX92:AY92"/>
    <mergeCell ref="AX91:AY91"/>
    <mergeCell ref="BC91:BF91"/>
    <mergeCell ref="BV91:BY91"/>
    <mergeCell ref="CD91:CF91"/>
    <mergeCell ref="CL91:CN91"/>
    <mergeCell ref="CO91:CP91"/>
    <mergeCell ref="BC90:BF90"/>
    <mergeCell ref="BV90:BY90"/>
    <mergeCell ref="CD90:CF90"/>
    <mergeCell ref="CL90:CN90"/>
    <mergeCell ref="CO90:CP90"/>
    <mergeCell ref="B91:C91"/>
    <mergeCell ref="F91:I91"/>
    <mergeCell ref="N91:O91"/>
    <mergeCell ref="V91:W91"/>
    <mergeCell ref="AT91:AU91"/>
    <mergeCell ref="B90:C90"/>
    <mergeCell ref="F90:I90"/>
    <mergeCell ref="N90:O90"/>
    <mergeCell ref="V90:W90"/>
    <mergeCell ref="AT90:AU90"/>
    <mergeCell ref="AX90:AY90"/>
    <mergeCell ref="AX89:AY89"/>
    <mergeCell ref="BC89:BF89"/>
    <mergeCell ref="BV89:BY89"/>
    <mergeCell ref="CD89:CF89"/>
    <mergeCell ref="CL89:CN89"/>
    <mergeCell ref="CO89:CP89"/>
    <mergeCell ref="BC88:BF88"/>
    <mergeCell ref="BV88:BY88"/>
    <mergeCell ref="CD88:CF88"/>
    <mergeCell ref="CL88:CN88"/>
    <mergeCell ref="CO88:CP88"/>
    <mergeCell ref="B89:C89"/>
    <mergeCell ref="F89:I89"/>
    <mergeCell ref="N89:O89"/>
    <mergeCell ref="V89:W89"/>
    <mergeCell ref="AT89:AU89"/>
    <mergeCell ref="B88:C88"/>
    <mergeCell ref="F88:I88"/>
    <mergeCell ref="N88:O88"/>
    <mergeCell ref="V88:W88"/>
    <mergeCell ref="AT88:AU88"/>
    <mergeCell ref="AX88:AY88"/>
    <mergeCell ref="AX87:AY87"/>
    <mergeCell ref="BC87:BF87"/>
    <mergeCell ref="BV87:BY87"/>
    <mergeCell ref="CD87:CF87"/>
    <mergeCell ref="CL87:CN87"/>
    <mergeCell ref="CO87:CP87"/>
    <mergeCell ref="BC86:BF86"/>
    <mergeCell ref="BV86:BY86"/>
    <mergeCell ref="CD86:CF86"/>
    <mergeCell ref="CL86:CN86"/>
    <mergeCell ref="CO86:CP86"/>
    <mergeCell ref="B87:C87"/>
    <mergeCell ref="F87:I87"/>
    <mergeCell ref="N87:O87"/>
    <mergeCell ref="V87:W87"/>
    <mergeCell ref="AT87:AU87"/>
    <mergeCell ref="B86:C86"/>
    <mergeCell ref="F86:I86"/>
    <mergeCell ref="N86:O86"/>
    <mergeCell ref="V86:W86"/>
    <mergeCell ref="AT86:AU86"/>
    <mergeCell ref="AX86:AY86"/>
    <mergeCell ref="AX85:AY85"/>
    <mergeCell ref="BC85:BF85"/>
    <mergeCell ref="BV85:BY85"/>
    <mergeCell ref="CD85:CF85"/>
    <mergeCell ref="CL85:CN85"/>
    <mergeCell ref="CO85:CP85"/>
    <mergeCell ref="BC84:BF84"/>
    <mergeCell ref="BV84:BY84"/>
    <mergeCell ref="CD84:CF84"/>
    <mergeCell ref="CL84:CN84"/>
    <mergeCell ref="CO84:CP84"/>
    <mergeCell ref="B85:C85"/>
    <mergeCell ref="F85:I85"/>
    <mergeCell ref="N85:O85"/>
    <mergeCell ref="V85:W85"/>
    <mergeCell ref="AT85:AU85"/>
    <mergeCell ref="B84:C84"/>
    <mergeCell ref="F84:I84"/>
    <mergeCell ref="N84:O84"/>
    <mergeCell ref="V84:W84"/>
    <mergeCell ref="AT84:AU84"/>
    <mergeCell ref="AX84:AY84"/>
    <mergeCell ref="AX83:AY83"/>
    <mergeCell ref="BC83:BF83"/>
    <mergeCell ref="BV83:BY83"/>
    <mergeCell ref="CD83:CF83"/>
    <mergeCell ref="CL83:CN83"/>
    <mergeCell ref="CO83:CP83"/>
    <mergeCell ref="BC82:BF82"/>
    <mergeCell ref="BV82:BY82"/>
    <mergeCell ref="CD82:CF82"/>
    <mergeCell ref="CL82:CN82"/>
    <mergeCell ref="CO82:CP82"/>
    <mergeCell ref="B83:C83"/>
    <mergeCell ref="F83:I83"/>
    <mergeCell ref="N83:O83"/>
    <mergeCell ref="V83:W83"/>
    <mergeCell ref="AT83:AU83"/>
    <mergeCell ref="B82:C82"/>
    <mergeCell ref="F82:I82"/>
    <mergeCell ref="N82:O82"/>
    <mergeCell ref="V82:W82"/>
    <mergeCell ref="AT82:AU82"/>
    <mergeCell ref="AX82:AY82"/>
    <mergeCell ref="AX81:AY81"/>
    <mergeCell ref="BC81:BF81"/>
    <mergeCell ref="BV81:BY81"/>
    <mergeCell ref="CD81:CF81"/>
    <mergeCell ref="CL81:CN81"/>
    <mergeCell ref="CO81:CP81"/>
    <mergeCell ref="BC80:BF80"/>
    <mergeCell ref="BV80:BY80"/>
    <mergeCell ref="CD80:CF80"/>
    <mergeCell ref="CL80:CN80"/>
    <mergeCell ref="CO80:CP80"/>
    <mergeCell ref="B81:C81"/>
    <mergeCell ref="F81:I81"/>
    <mergeCell ref="N81:O81"/>
    <mergeCell ref="V81:W81"/>
    <mergeCell ref="AT81:AU81"/>
    <mergeCell ref="B80:C80"/>
    <mergeCell ref="F80:I80"/>
    <mergeCell ref="N80:O80"/>
    <mergeCell ref="V80:W80"/>
    <mergeCell ref="AT80:AU80"/>
    <mergeCell ref="AX80:AY80"/>
    <mergeCell ref="AX79:AY79"/>
    <mergeCell ref="BC79:BF79"/>
    <mergeCell ref="BV79:BY79"/>
    <mergeCell ref="CD79:CF79"/>
    <mergeCell ref="CL79:CN79"/>
    <mergeCell ref="CO79:CP79"/>
    <mergeCell ref="BC78:BF78"/>
    <mergeCell ref="BV78:BY78"/>
    <mergeCell ref="CD78:CF78"/>
    <mergeCell ref="CL78:CN78"/>
    <mergeCell ref="CO78:CP78"/>
    <mergeCell ref="B79:C79"/>
    <mergeCell ref="F79:I79"/>
    <mergeCell ref="N79:O79"/>
    <mergeCell ref="V79:W79"/>
    <mergeCell ref="AT79:AU79"/>
    <mergeCell ref="B78:C78"/>
    <mergeCell ref="F78:I78"/>
    <mergeCell ref="N78:O78"/>
    <mergeCell ref="V78:W78"/>
    <mergeCell ref="AT78:AU78"/>
    <mergeCell ref="AX78:AY78"/>
    <mergeCell ref="AX77:AY77"/>
    <mergeCell ref="BC77:BF77"/>
    <mergeCell ref="BV77:BY77"/>
    <mergeCell ref="CD77:CF77"/>
    <mergeCell ref="CL77:CN77"/>
    <mergeCell ref="CO77:CP77"/>
    <mergeCell ref="BC76:BF76"/>
    <mergeCell ref="BV76:BY76"/>
    <mergeCell ref="CD76:CF76"/>
    <mergeCell ref="CL76:CN76"/>
    <mergeCell ref="CO76:CP76"/>
    <mergeCell ref="B77:C77"/>
    <mergeCell ref="F77:I77"/>
    <mergeCell ref="N77:O77"/>
    <mergeCell ref="V77:W77"/>
    <mergeCell ref="AT77:AU77"/>
    <mergeCell ref="B76:C76"/>
    <mergeCell ref="F76:I76"/>
    <mergeCell ref="N76:O76"/>
    <mergeCell ref="V76:W76"/>
    <mergeCell ref="AT76:AU76"/>
    <mergeCell ref="AX76:AY76"/>
    <mergeCell ref="AX75:AY75"/>
    <mergeCell ref="BC75:BF75"/>
    <mergeCell ref="BV75:BY75"/>
    <mergeCell ref="CD75:CF75"/>
    <mergeCell ref="CL75:CN75"/>
    <mergeCell ref="CO75:CP75"/>
    <mergeCell ref="BC74:BF74"/>
    <mergeCell ref="BV74:BY74"/>
    <mergeCell ref="CD74:CF74"/>
    <mergeCell ref="CL74:CN74"/>
    <mergeCell ref="CO74:CP74"/>
    <mergeCell ref="B75:C75"/>
    <mergeCell ref="F75:I75"/>
    <mergeCell ref="N75:O75"/>
    <mergeCell ref="V75:W75"/>
    <mergeCell ref="AT75:AU75"/>
    <mergeCell ref="B74:C74"/>
    <mergeCell ref="F74:I74"/>
    <mergeCell ref="N74:O74"/>
    <mergeCell ref="V74:W74"/>
    <mergeCell ref="AT74:AU74"/>
    <mergeCell ref="AX74:AY74"/>
    <mergeCell ref="AX73:AY73"/>
    <mergeCell ref="BC73:BF73"/>
    <mergeCell ref="BV73:BY73"/>
    <mergeCell ref="CD73:CF73"/>
    <mergeCell ref="CL73:CN73"/>
    <mergeCell ref="CO73:CP73"/>
    <mergeCell ref="BC72:BF72"/>
    <mergeCell ref="BV72:BY72"/>
    <mergeCell ref="CD72:CF72"/>
    <mergeCell ref="CL72:CN72"/>
    <mergeCell ref="CO72:CP72"/>
    <mergeCell ref="B73:C73"/>
    <mergeCell ref="F73:I73"/>
    <mergeCell ref="N73:O73"/>
    <mergeCell ref="V73:W73"/>
    <mergeCell ref="AT73:AU73"/>
    <mergeCell ref="B72:C72"/>
    <mergeCell ref="F72:I72"/>
    <mergeCell ref="N72:O72"/>
    <mergeCell ref="V72:W72"/>
    <mergeCell ref="AT72:AU72"/>
    <mergeCell ref="AX72:AY72"/>
    <mergeCell ref="AX71:AY71"/>
    <mergeCell ref="BC71:BF71"/>
    <mergeCell ref="BV71:BY71"/>
    <mergeCell ref="CD71:CF71"/>
    <mergeCell ref="CL71:CN71"/>
    <mergeCell ref="CO71:CP71"/>
    <mergeCell ref="BV70:BY70"/>
    <mergeCell ref="CD70:CF70"/>
    <mergeCell ref="CL70:CN70"/>
    <mergeCell ref="CO70:CP70"/>
    <mergeCell ref="CQ70:CU70"/>
    <mergeCell ref="B71:C71"/>
    <mergeCell ref="F71:I71"/>
    <mergeCell ref="N71:O71"/>
    <mergeCell ref="V71:W71"/>
    <mergeCell ref="AT71:AU71"/>
    <mergeCell ref="CQ67:CU67"/>
    <mergeCell ref="CQ68:CU68"/>
    <mergeCell ref="CQ69:CU69"/>
    <mergeCell ref="B70:C70"/>
    <mergeCell ref="F70:I70"/>
    <mergeCell ref="N70:O70"/>
    <mergeCell ref="V70:W70"/>
    <mergeCell ref="AT70:AU70"/>
    <mergeCell ref="AX70:AY70"/>
    <mergeCell ref="BC70:BF70"/>
    <mergeCell ref="CQ61:CU61"/>
    <mergeCell ref="CQ62:CU62"/>
    <mergeCell ref="CQ63:CU63"/>
    <mergeCell ref="CQ64:CU64"/>
    <mergeCell ref="CQ65:CU65"/>
    <mergeCell ref="CQ66:CU66"/>
    <mergeCell ref="CQ55:CU55"/>
    <mergeCell ref="CQ56:CU56"/>
    <mergeCell ref="CQ57:CU57"/>
    <mergeCell ref="CQ58:CU58"/>
    <mergeCell ref="CQ59:CU59"/>
    <mergeCell ref="CQ60:CU60"/>
    <mergeCell ref="CQ49:CU49"/>
    <mergeCell ref="CQ50:CU50"/>
    <mergeCell ref="CQ51:CU51"/>
    <mergeCell ref="CQ52:CU52"/>
    <mergeCell ref="CQ53:CU53"/>
    <mergeCell ref="CQ54:CU54"/>
    <mergeCell ref="CQ43:CU43"/>
    <mergeCell ref="CQ44:CU44"/>
    <mergeCell ref="CQ45:CU45"/>
    <mergeCell ref="CQ46:CU46"/>
    <mergeCell ref="CQ47:CU47"/>
    <mergeCell ref="CQ48:CU48"/>
    <mergeCell ref="DP2:DQ2"/>
    <mergeCell ref="DR2:DS2"/>
    <mergeCell ref="DE3:DF3"/>
    <mergeCell ref="DI3:DK3"/>
    <mergeCell ref="CQ41:CU41"/>
    <mergeCell ref="CQ42:CU42"/>
    <mergeCell ref="CQ2:CQ3"/>
    <mergeCell ref="CR2:CS2"/>
    <mergeCell ref="CT2:CU2"/>
    <mergeCell ref="CW2:CW3"/>
    <mergeCell ref="DH2:DH3"/>
    <mergeCell ref="DM2:DO2"/>
    <mergeCell ref="EN1:EP1"/>
    <mergeCell ref="ER1:ES1"/>
    <mergeCell ref="ET1:EU1"/>
    <mergeCell ref="EW1:EX1"/>
    <mergeCell ref="EY1:EZ1"/>
    <mergeCell ref="B2:C2"/>
    <mergeCell ref="R2:S2"/>
    <mergeCell ref="Y2:Z2"/>
    <mergeCell ref="AT2:AU2"/>
    <mergeCell ref="AX2:AY2"/>
    <mergeCell ref="CW1:CZ1"/>
    <mergeCell ref="DC1:DD1"/>
    <mergeCell ref="DH1:DK1"/>
    <mergeCell ref="DM1:DO1"/>
    <mergeCell ref="ED1:EG1"/>
    <mergeCell ref="EJ1:EL1"/>
    <mergeCell ref="BK1:BM1"/>
    <mergeCell ref="BV1:BY1"/>
    <mergeCell ref="BZ1:CB1"/>
    <mergeCell ref="CD1:CJ1"/>
    <mergeCell ref="CL1:CN1"/>
    <mergeCell ref="CQ1:CU1"/>
    <mergeCell ref="AJ1:AL1"/>
    <mergeCell ref="AO1:AQ1"/>
    <mergeCell ref="AT1:AU1"/>
    <mergeCell ref="AX1:BA1"/>
    <mergeCell ref="BC1:BF1"/>
    <mergeCell ref="BG1:BI1"/>
    <mergeCell ref="B1:C1"/>
    <mergeCell ref="F1:K1"/>
    <mergeCell ref="N1:S1"/>
    <mergeCell ref="V1:W1"/>
    <mergeCell ref="AC1:AE1"/>
    <mergeCell ref="AF1:AH1"/>
  </mergeCells>
  <hyperlinks>
    <hyperlink ref="CQ68" r:id="rId1" display="mailto:info@stats.govt.nz"/>
    <hyperlink ref="AT95" r:id="rId2" display="mailto:info@stats.govt.nz"/>
    <hyperlink ref="AX95" r:id="rId3" display="mailto:info@stats.govt.nz"/>
    <hyperlink ref="CW149" r:id="rId4" display="mailto:info@stats.govt.nz"/>
    <hyperlink ref="EJ141" r:id="rId5" display="mailto:info@stats.govt.nz"/>
    <hyperlink ref="EN141" r:id="rId6" display="mailto:info@stats.govt.nz"/>
    <hyperlink ref="F95" r:id="rId7" display="mailto:info@stats.govt.nz"/>
    <hyperlink ref="B96" r:id="rId8" display="mailto:info@stats.govt.nz"/>
    <hyperlink ref="V98" r:id="rId9" display="mailto:info@stats.govt.nz"/>
    <hyperlink ref="BC98" r:id="rId10" display="mailto:info@stats.govt.nz"/>
    <hyperlink ref="N99" r:id="rId11" display="mailto:info@stats.govt.nz"/>
    <hyperlink ref="AC95" r:id="rId12" display="mailto:info@stats.govt.nz"/>
    <hyperlink ref="AJ95" r:id="rId13" display="mailto:info@stats.govt.nz"/>
    <hyperlink ref="AO95" r:id="rId14" display="mailto:info@stats.govt.nz"/>
    <hyperlink ref="DM154" r:id="rId15" display="mailto:info@stats.govt.nz"/>
    <hyperlink ref="BV98" r:id="rId16" display="mailto:info@stats.govt.nz"/>
    <hyperlink ref="CD97" r:id="rId17" display="mailto:info@stats.govt.nz"/>
    <hyperlink ref="CL99" r:id="rId18" display="mailto:info@stats.govt.nz"/>
    <hyperlink ref="CO96" r:id="rId19" display="mailto:info@stats.govt.nz"/>
    <hyperlink ref="CW144" r:id="rId20" display="mailto:info@stats.govt.nz"/>
    <hyperlink ref="DH154" r:id="rId21" display="mailto:info@stats.govt.nz"/>
  </hyperlinks>
  <pageMargins left="0.7" right="0.7" top="0.75" bottom="0.75" header="0.3" footer="0.3"/>
  <pageSetup paperSize="9" orientation="portrait" horizontalDpi="1200" verticalDpi="1200" r:id="rId22"/>
  <drawing r:id="rId23"/>
  <legacy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57</vt:i4>
      </vt:variant>
    </vt:vector>
  </HeadingPairs>
  <TitlesOfParts>
    <vt:vector size="65" baseType="lpstr">
      <vt:lpstr>Health Vote 2019-20 post-Budget</vt:lpstr>
      <vt:lpstr>2019 Health appropriations</vt:lpstr>
      <vt:lpstr>Notes 2019-20 post-Budget</vt:lpstr>
      <vt:lpstr>Multiyear</vt:lpstr>
      <vt:lpstr>Compared to Total Exp, GDP</vt:lpstr>
      <vt:lpstr>DHB Stats</vt:lpstr>
      <vt:lpstr>Demographics</vt:lpstr>
      <vt:lpstr>Wage, price statistics</vt:lpstr>
      <vt:lpstr>'Health Vote 2019-20 post-Budget'!_CPI19</vt:lpstr>
      <vt:lpstr>AgingFunding</vt:lpstr>
      <vt:lpstr>'Health Vote 2019-20 post-Budget'!AllIndustriesWageIncr19</vt:lpstr>
      <vt:lpstr>'Health Vote 2019-20 post-Budget'!BirthGrowth19</vt:lpstr>
      <vt:lpstr>'Health Vote 2019-20 post-Budget'!CapitalGoodsProportion19</vt:lpstr>
      <vt:lpstr>'Health Vote 2019-20 post-Budget'!CapitalPI19</vt:lpstr>
      <vt:lpstr>'Health Vote 2019-20 post-Budget'!ChildPopGrowth19</vt:lpstr>
      <vt:lpstr>'Health Vote 2019-20 post-Budget'!DHBFundedProportion19</vt:lpstr>
      <vt:lpstr>'Health Vote 2019-20 post-Budget'!DHBFundedWageIncreases19</vt:lpstr>
      <vt:lpstr>'Health Vote 2019-20 post-Budget'!DHBProviderProportion19</vt:lpstr>
      <vt:lpstr>'Health Vote 2019-20 post-Budget'!DHBProviderWageIncrease19</vt:lpstr>
      <vt:lpstr>'Health Vote 2019-20 post-Budget'!LabourProportion19</vt:lpstr>
      <vt:lpstr>'Health Vote 2019-20 post-Budget'!MaoriPopulationGrowth19</vt:lpstr>
      <vt:lpstr>'Health Vote 2019-20 post-Budget'!MedicalProportion19</vt:lpstr>
      <vt:lpstr>'Health Vote 2019-20 post-Budget'!MedicalSalaryIncreases19</vt:lpstr>
      <vt:lpstr>MinWageProportion</vt:lpstr>
      <vt:lpstr>'Health Vote 2019-20 post-Budget'!NDGandProdSwitch19</vt:lpstr>
      <vt:lpstr>NewCommitmentsFunding</vt:lpstr>
      <vt:lpstr>'Health Vote 2019-20 post-Budget'!NonDemographicGrowth19</vt:lpstr>
      <vt:lpstr>'Health Vote 2019-20 post-Budget'!NonLabourGeneralCostIncreases19</vt:lpstr>
      <vt:lpstr>'Health Vote 2019-20 post-Budget'!NonLabourHealthServicesCostIncrease19</vt:lpstr>
      <vt:lpstr>'Health Vote 2019-20 post-Budget'!NonLabourProportion19</vt:lpstr>
      <vt:lpstr>NonProviderPriceIndex</vt:lpstr>
      <vt:lpstr>NonProviderWageSector</vt:lpstr>
      <vt:lpstr>NonWageCostsFunding</vt:lpstr>
      <vt:lpstr>'Health Vote 2019-20 post-Budget'!NursingProportion19</vt:lpstr>
      <vt:lpstr>'Health Vote 2019-20 post-Budget'!NursingSalaryIncrease19</vt:lpstr>
      <vt:lpstr>'Health Vote 2019-20 post-Budget'!OtherDHBWageIncreases19</vt:lpstr>
      <vt:lpstr>'Health Vote 2019-20 post-Budget'!OtherWageProportion19</vt:lpstr>
      <vt:lpstr>'Health Vote 2019-20 post-Budget'!OtherWagesIncreases19</vt:lpstr>
      <vt:lpstr>PopIncreasesFunding</vt:lpstr>
      <vt:lpstr>'Health Vote 2019-20 post-Budget'!PopulationGrowth19</vt:lpstr>
      <vt:lpstr>PriceIndexSelection</vt:lpstr>
      <vt:lpstr>PricesData</vt:lpstr>
      <vt:lpstr>'Health Vote 2019-20 post-Budget'!ProductivityGrowth19</vt:lpstr>
      <vt:lpstr>ProviderPriceIndex</vt:lpstr>
      <vt:lpstr>ProviderWageSector</vt:lpstr>
      <vt:lpstr>TotalNeed</vt:lpstr>
      <vt:lpstr>WageFunding</vt:lpstr>
      <vt:lpstr>WagesData</vt:lpstr>
      <vt:lpstr>WageSelection</vt:lpstr>
      <vt:lpstr>ZeroAging</vt:lpstr>
      <vt:lpstr>ZeroBirths</vt:lpstr>
      <vt:lpstr>ZeroChildPop</vt:lpstr>
      <vt:lpstr>ZeroCostWeightedDemog</vt:lpstr>
      <vt:lpstr>ZeroDHBFunderArmWage</vt:lpstr>
      <vt:lpstr>ZeroDHBProviderWage</vt:lpstr>
      <vt:lpstr>ZeroExplicitWageRises</vt:lpstr>
      <vt:lpstr>ZeroMaoriPop</vt:lpstr>
      <vt:lpstr>ZeroMentalHealthClients</vt:lpstr>
      <vt:lpstr>ZeroNetInitiatives</vt:lpstr>
      <vt:lpstr>ZeroNonDHBProviderWage</vt:lpstr>
      <vt:lpstr>ZeroNonProviderPrices</vt:lpstr>
      <vt:lpstr>ZeroPop</vt:lpstr>
      <vt:lpstr>ZeroProviderPrices</vt:lpstr>
      <vt:lpstr>ZeroResidentialCarePrices</vt:lpstr>
      <vt:lpstr>ZeroWageInHighMinWageSectors</vt:lpstr>
    </vt:vector>
  </TitlesOfParts>
  <Company>NZCTU</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Rosenberg</dc:creator>
  <cp:lastModifiedBy>Bill Rosenberg</cp:lastModifiedBy>
  <dcterms:created xsi:type="dcterms:W3CDTF">2019-07-29T02:36:27Z</dcterms:created>
  <dcterms:modified xsi:type="dcterms:W3CDTF">2019-07-29T04:28:30Z</dcterms:modified>
</cp:coreProperties>
</file>