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 not remove - Bill's\CTU\Health\Health vote\"/>
    </mc:Choice>
  </mc:AlternateContent>
  <bookViews>
    <workbookView xWindow="0" yWindow="0" windowWidth="23895" windowHeight="12210"/>
  </bookViews>
  <sheets>
    <sheet name="Health Vote 2016-17" sheetId="1" r:id="rId1"/>
  </sheets>
  <externalReferences>
    <externalReference r:id="rId2"/>
  </externalReferences>
  <definedNames>
    <definedName name="_CPI16" localSheetId="0">'Health Vote 2016-17'!$AJ$4</definedName>
    <definedName name="_LCI16" localSheetId="0">'Health Vote 2016-17'!$AO$4</definedName>
    <definedName name="BirthGrowth16" localSheetId="0">'Health Vote 2016-17'!$AK$4</definedName>
    <definedName name="CapitalGoodsProportion16" localSheetId="0">'Health Vote 2016-17'!$R$4</definedName>
    <definedName name="CapitalPI16" localSheetId="0">'Health Vote 2016-17'!$S$4</definedName>
    <definedName name="ChildPopGrowth16" localSheetId="0">'Health Vote 2016-17'!$AL$4</definedName>
    <definedName name="CostOfSettlements1617">'Health Vote 2016-17'!$AS$4</definedName>
    <definedName name="DHBFundedProportion16" localSheetId="0">'Health Vote 2016-17'!$K$4</definedName>
    <definedName name="DHBFundedWageIncreases16" localSheetId="0">'Health Vote 2016-17'!$J$4</definedName>
    <definedName name="DHBProviderProportion16" localSheetId="0">'Health Vote 2016-17'!$AP$4</definedName>
    <definedName name="DHBProviderWageIncrease16" localSheetId="0">'Health Vote 2016-17'!$AM$4</definedName>
    <definedName name="HighMinWageSectorWageIncrease" localSheetId="0">'Health Vote 2016-17'!$AQ$4</definedName>
    <definedName name="LabourProportion16" localSheetId="0">'Health Vote 2016-17'!$AI$4</definedName>
    <definedName name="MedicalProportion16" localSheetId="0">'Health Vote 2016-17'!$E$4</definedName>
    <definedName name="MedicalSalaryIncreases16" localSheetId="0">'Health Vote 2016-17'!$D$4</definedName>
    <definedName name="NDGandProdSwitch16" localSheetId="0">'Health Vote 2016-17'!$C$1</definedName>
    <definedName name="NonDemographicGrowth16" localSheetId="0">'Health Vote 2016-17'!$P$4</definedName>
    <definedName name="NonLabourGeneralCostIncreases16" localSheetId="0">'Health Vote 2016-17'!$N$4</definedName>
    <definedName name="NonLabourHealthServicesCostIncrease16" localSheetId="0">'Health Vote 2016-17'!$L$4</definedName>
    <definedName name="NonLabourProportion16" localSheetId="0">'Health Vote 2016-17'!$M$4</definedName>
    <definedName name="NursingProportion16" localSheetId="0">'Health Vote 2016-17'!$G$4</definedName>
    <definedName name="NursingSalaryIncrease16" localSheetId="0">'Health Vote 2016-17'!$F$4</definedName>
    <definedName name="OtherDHBWageIncreases16" localSheetId="0">'Health Vote 2016-17'!$H$4</definedName>
    <definedName name="OtherWageIncreases16" localSheetId="0">'Health Vote 2016-17'!$AR$4</definedName>
    <definedName name="OtherWageProportion16" localSheetId="0">'Health Vote 2016-17'!$I$4</definedName>
    <definedName name="PopulationGrowth16" localSheetId="0">'Health Vote 2016-17'!$O$4</definedName>
    <definedName name="ProductivityGrowth16" localSheetId="0">'Health Vote 2016-17'!$Q$4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32" i="1" s="1"/>
  <c r="K114" i="1"/>
  <c r="G110" i="1"/>
  <c r="X50" i="1" s="1"/>
  <c r="E110" i="1"/>
  <c r="K110" i="1" s="1"/>
  <c r="W50" i="1" s="1"/>
  <c r="C110" i="1"/>
  <c r="A110" i="1"/>
  <c r="K109" i="1"/>
  <c r="C109" i="1"/>
  <c r="A109" i="1"/>
  <c r="E108" i="1"/>
  <c r="K108" i="1" s="1"/>
  <c r="C108" i="1"/>
  <c r="A108" i="1"/>
  <c r="K107" i="1"/>
  <c r="G107" i="1"/>
  <c r="C107" i="1"/>
  <c r="A107" i="1"/>
  <c r="I106" i="1"/>
  <c r="I111" i="1" s="1"/>
  <c r="I116" i="1" s="1"/>
  <c r="G106" i="1"/>
  <c r="E106" i="1"/>
  <c r="C106" i="1"/>
  <c r="A106" i="1"/>
  <c r="K105" i="1"/>
  <c r="C105" i="1"/>
  <c r="A105" i="1"/>
  <c r="K104" i="1"/>
  <c r="G104" i="1"/>
  <c r="C104" i="1"/>
  <c r="A104" i="1"/>
  <c r="K103" i="1"/>
  <c r="C103" i="1"/>
  <c r="A103" i="1"/>
  <c r="K102" i="1"/>
  <c r="C102" i="1"/>
  <c r="A102" i="1"/>
  <c r="E101" i="1"/>
  <c r="K101" i="1" s="1"/>
  <c r="W41" i="1" s="1"/>
  <c r="C101" i="1"/>
  <c r="A101" i="1"/>
  <c r="K100" i="1"/>
  <c r="G100" i="1"/>
  <c r="X40" i="1" s="1"/>
  <c r="C100" i="1"/>
  <c r="A100" i="1"/>
  <c r="G99" i="1"/>
  <c r="E99" i="1"/>
  <c r="K99" i="1" s="1"/>
  <c r="W39" i="1" s="1"/>
  <c r="C99" i="1"/>
  <c r="A99" i="1"/>
  <c r="E98" i="1"/>
  <c r="C98" i="1"/>
  <c r="A98" i="1"/>
  <c r="K97" i="1"/>
  <c r="G97" i="1"/>
  <c r="C97" i="1"/>
  <c r="A97" i="1"/>
  <c r="K96" i="1"/>
  <c r="C96" i="1"/>
  <c r="A96" i="1"/>
  <c r="K95" i="1"/>
  <c r="C95" i="1"/>
  <c r="C111" i="1" s="1"/>
  <c r="A95" i="1"/>
  <c r="G92" i="1"/>
  <c r="X32" i="1" s="1"/>
  <c r="E92" i="1"/>
  <c r="K92" i="1" s="1"/>
  <c r="E89" i="1"/>
  <c r="C89" i="1"/>
  <c r="AE81" i="1"/>
  <c r="AG81" i="1" s="1"/>
  <c r="AE79" i="1"/>
  <c r="AD79" i="1"/>
  <c r="AC79" i="1"/>
  <c r="AC81" i="1" s="1"/>
  <c r="AG78" i="1"/>
  <c r="S78" i="1"/>
  <c r="R78" i="1"/>
  <c r="U78" i="1" s="1"/>
  <c r="C78" i="1"/>
  <c r="AF78" i="1" s="1"/>
  <c r="AG77" i="1"/>
  <c r="U77" i="1"/>
  <c r="S77" i="1"/>
  <c r="R77" i="1"/>
  <c r="C77" i="1"/>
  <c r="AF77" i="1" s="1"/>
  <c r="AG76" i="1"/>
  <c r="AF76" i="1"/>
  <c r="S76" i="1"/>
  <c r="R76" i="1"/>
  <c r="U76" i="1" s="1"/>
  <c r="C76" i="1"/>
  <c r="AG75" i="1"/>
  <c r="AF75" i="1"/>
  <c r="S75" i="1"/>
  <c r="R75" i="1"/>
  <c r="U75" i="1" s="1"/>
  <c r="C75" i="1"/>
  <c r="AG74" i="1"/>
  <c r="S74" i="1"/>
  <c r="U74" i="1" s="1"/>
  <c r="R74" i="1"/>
  <c r="C74" i="1"/>
  <c r="AF74" i="1" s="1"/>
  <c r="AG73" i="1"/>
  <c r="U73" i="1"/>
  <c r="S73" i="1"/>
  <c r="R73" i="1"/>
  <c r="C73" i="1"/>
  <c r="AF73" i="1" s="1"/>
  <c r="AG72" i="1"/>
  <c r="AF72" i="1"/>
  <c r="S72" i="1"/>
  <c r="R72" i="1"/>
  <c r="U72" i="1" s="1"/>
  <c r="Y79" i="1" s="1" a="1"/>
  <c r="C72" i="1"/>
  <c r="AG69" i="1"/>
  <c r="AD69" i="1"/>
  <c r="AD81" i="1" s="1"/>
  <c r="AC69" i="1"/>
  <c r="AG68" i="1"/>
  <c r="AF68" i="1"/>
  <c r="S68" i="1"/>
  <c r="R68" i="1"/>
  <c r="U68" i="1" s="1"/>
  <c r="C68" i="1"/>
  <c r="C69" i="1" s="1"/>
  <c r="AE63" i="1"/>
  <c r="C114" i="1" s="1"/>
  <c r="AD63" i="1"/>
  <c r="AC63" i="1"/>
  <c r="AG62" i="1"/>
  <c r="K62" i="1"/>
  <c r="J62" i="1"/>
  <c r="C62" i="1"/>
  <c r="AF62" i="1" s="1"/>
  <c r="AG61" i="1"/>
  <c r="K61" i="1"/>
  <c r="J61" i="1"/>
  <c r="C61" i="1"/>
  <c r="C63" i="1" s="1"/>
  <c r="AG60" i="1"/>
  <c r="C60" i="1"/>
  <c r="AF60" i="1" s="1"/>
  <c r="Z57" i="1"/>
  <c r="Y57" i="1"/>
  <c r="AA57" i="1" s="1"/>
  <c r="Y57" i="1" a="1"/>
  <c r="U57" i="1"/>
  <c r="C57" i="1"/>
  <c r="AE51" i="1"/>
  <c r="AD51" i="1"/>
  <c r="AC51" i="1"/>
  <c r="AG50" i="1"/>
  <c r="O50" i="1"/>
  <c r="K50" i="1"/>
  <c r="C50" i="1"/>
  <c r="AG49" i="1"/>
  <c r="X49" i="1"/>
  <c r="W49" i="1"/>
  <c r="O49" i="1"/>
  <c r="K49" i="1"/>
  <c r="J49" i="1"/>
  <c r="C49" i="1"/>
  <c r="AG48" i="1"/>
  <c r="X48" i="1"/>
  <c r="W48" i="1"/>
  <c r="O48" i="1"/>
  <c r="K48" i="1"/>
  <c r="J48" i="1"/>
  <c r="C48" i="1"/>
  <c r="AG47" i="1"/>
  <c r="X47" i="1"/>
  <c r="W47" i="1"/>
  <c r="O47" i="1"/>
  <c r="K47" i="1"/>
  <c r="C47" i="1"/>
  <c r="AF47" i="1" s="1"/>
  <c r="AG46" i="1"/>
  <c r="X46" i="1"/>
  <c r="O46" i="1"/>
  <c r="K46" i="1"/>
  <c r="C46" i="1"/>
  <c r="AF46" i="1" s="1"/>
  <c r="AG45" i="1"/>
  <c r="AF45" i="1"/>
  <c r="X45" i="1"/>
  <c r="W45" i="1"/>
  <c r="P45" i="1"/>
  <c r="O45" i="1"/>
  <c r="K45" i="1"/>
  <c r="C45" i="1"/>
  <c r="AG44" i="1"/>
  <c r="AF44" i="1"/>
  <c r="X44" i="1"/>
  <c r="W44" i="1"/>
  <c r="O44" i="1"/>
  <c r="K44" i="1"/>
  <c r="J44" i="1"/>
  <c r="C44" i="1"/>
  <c r="AG43" i="1"/>
  <c r="X43" i="1"/>
  <c r="W43" i="1"/>
  <c r="K43" i="1"/>
  <c r="J43" i="1"/>
  <c r="C43" i="1"/>
  <c r="AF43" i="1" s="1"/>
  <c r="AG42" i="1"/>
  <c r="X42" i="1"/>
  <c r="W42" i="1"/>
  <c r="O42" i="1"/>
  <c r="K42" i="1"/>
  <c r="J42" i="1"/>
  <c r="C42" i="1"/>
  <c r="AF42" i="1" s="1"/>
  <c r="AG41" i="1"/>
  <c r="X41" i="1"/>
  <c r="O41" i="1"/>
  <c r="K41" i="1"/>
  <c r="C41" i="1"/>
  <c r="AF41" i="1" s="1"/>
  <c r="AG40" i="1"/>
  <c r="W40" i="1"/>
  <c r="O40" i="1"/>
  <c r="K40" i="1"/>
  <c r="J40" i="1"/>
  <c r="C40" i="1"/>
  <c r="AF40" i="1" s="1"/>
  <c r="AG39" i="1"/>
  <c r="X39" i="1"/>
  <c r="O39" i="1"/>
  <c r="K39" i="1"/>
  <c r="J39" i="1"/>
  <c r="C39" i="1"/>
  <c r="AF39" i="1" s="1"/>
  <c r="AG38" i="1"/>
  <c r="X38" i="1"/>
  <c r="O38" i="1"/>
  <c r="K38" i="1"/>
  <c r="C38" i="1"/>
  <c r="AF38" i="1" s="1"/>
  <c r="AG37" i="1"/>
  <c r="X37" i="1"/>
  <c r="W37" i="1"/>
  <c r="K37" i="1"/>
  <c r="J37" i="1"/>
  <c r="C37" i="1"/>
  <c r="AG36" i="1"/>
  <c r="X36" i="1"/>
  <c r="W36" i="1"/>
  <c r="K36" i="1"/>
  <c r="J36" i="1"/>
  <c r="C36" i="1"/>
  <c r="AG35" i="1"/>
  <c r="X35" i="1"/>
  <c r="W35" i="1"/>
  <c r="K35" i="1"/>
  <c r="J35" i="1"/>
  <c r="C35" i="1"/>
  <c r="AE32" i="1"/>
  <c r="C92" i="1" s="1"/>
  <c r="AD32" i="1"/>
  <c r="AD53" i="1" s="1"/>
  <c r="AC32" i="1"/>
  <c r="AC53" i="1" s="1"/>
  <c r="W32" i="1"/>
  <c r="O32" i="1"/>
  <c r="K32" i="1"/>
  <c r="AG31" i="1"/>
  <c r="C31" i="1"/>
  <c r="AF31" i="1" s="1"/>
  <c r="AG30" i="1"/>
  <c r="AF30" i="1"/>
  <c r="C30" i="1"/>
  <c r="AG29" i="1"/>
  <c r="C29" i="1"/>
  <c r="AF29" i="1" s="1"/>
  <c r="AG28" i="1"/>
  <c r="C28" i="1"/>
  <c r="AF28" i="1" s="1"/>
  <c r="AG27" i="1"/>
  <c r="C27" i="1"/>
  <c r="AF27" i="1" s="1"/>
  <c r="AG26" i="1"/>
  <c r="AF26" i="1"/>
  <c r="C26" i="1"/>
  <c r="AG25" i="1"/>
  <c r="C25" i="1"/>
  <c r="AF25" i="1" s="1"/>
  <c r="AG24" i="1"/>
  <c r="C24" i="1"/>
  <c r="AF24" i="1" s="1"/>
  <c r="AG23" i="1"/>
  <c r="C23" i="1"/>
  <c r="AF23" i="1" s="1"/>
  <c r="AG22" i="1"/>
  <c r="C22" i="1"/>
  <c r="AF22" i="1" s="1"/>
  <c r="AG21" i="1"/>
  <c r="C21" i="1"/>
  <c r="AF21" i="1" s="1"/>
  <c r="AG20" i="1"/>
  <c r="C20" i="1"/>
  <c r="AF20" i="1" s="1"/>
  <c r="AG19" i="1"/>
  <c r="C19" i="1"/>
  <c r="AF19" i="1" s="1"/>
  <c r="AG18" i="1"/>
  <c r="C18" i="1"/>
  <c r="AF18" i="1" s="1"/>
  <c r="AG17" i="1"/>
  <c r="C17" i="1"/>
  <c r="AF17" i="1" s="1"/>
  <c r="AG16" i="1"/>
  <c r="C16" i="1"/>
  <c r="AF16" i="1" s="1"/>
  <c r="AG15" i="1"/>
  <c r="C15" i="1"/>
  <c r="AF15" i="1" s="1"/>
  <c r="AG14" i="1"/>
  <c r="AF14" i="1"/>
  <c r="C14" i="1"/>
  <c r="AG13" i="1"/>
  <c r="C13" i="1"/>
  <c r="AF13" i="1" s="1"/>
  <c r="AG12" i="1"/>
  <c r="C12" i="1"/>
  <c r="AF12" i="1" s="1"/>
  <c r="AG8" i="1"/>
  <c r="X8" i="1"/>
  <c r="X65" i="1" s="1"/>
  <c r="K8" i="1"/>
  <c r="J8" i="1"/>
  <c r="C8" i="1"/>
  <c r="AR4" i="1"/>
  <c r="Q4" i="1"/>
  <c r="Q48" i="1" s="1"/>
  <c r="P4" i="1"/>
  <c r="P50" i="1" s="1"/>
  <c r="N4" i="1"/>
  <c r="N50" i="1" s="1"/>
  <c r="M4" i="1"/>
  <c r="M48" i="1" s="1"/>
  <c r="L4" i="1"/>
  <c r="L32" i="1" s="1"/>
  <c r="K4" i="1"/>
  <c r="J4" i="1"/>
  <c r="J32" i="1" s="1"/>
  <c r="I4" i="1"/>
  <c r="I32" i="1" s="1"/>
  <c r="H4" i="1"/>
  <c r="H32" i="1" s="1"/>
  <c r="G4" i="1"/>
  <c r="G32" i="1" s="1"/>
  <c r="E4" i="1"/>
  <c r="E32" i="1" s="1"/>
  <c r="D4" i="1"/>
  <c r="D32" i="1" s="1"/>
  <c r="M8" i="1" l="1"/>
  <c r="N38" i="1"/>
  <c r="N8" i="1"/>
  <c r="P32" i="1"/>
  <c r="N35" i="1"/>
  <c r="N36" i="1"/>
  <c r="N37" i="1"/>
  <c r="N42" i="1"/>
  <c r="P35" i="1"/>
  <c r="P36" i="1"/>
  <c r="P37" i="1"/>
  <c r="P40" i="1"/>
  <c r="P49" i="1"/>
  <c r="Y75" i="1"/>
  <c r="Y79" i="1"/>
  <c r="AA79" i="1" s="1"/>
  <c r="E111" i="1"/>
  <c r="G111" i="1"/>
  <c r="M32" i="1"/>
  <c r="M35" i="1"/>
  <c r="AG51" i="1"/>
  <c r="M36" i="1"/>
  <c r="M37" i="1"/>
  <c r="M38" i="1"/>
  <c r="Q38" i="1"/>
  <c r="P39" i="1"/>
  <c r="N41" i="1"/>
  <c r="M42" i="1"/>
  <c r="Q42" i="1"/>
  <c r="Q43" i="1"/>
  <c r="P44" i="1"/>
  <c r="N46" i="1"/>
  <c r="M47" i="1"/>
  <c r="Q47" i="1"/>
  <c r="AF49" i="1"/>
  <c r="AF50" i="1"/>
  <c r="AE53" i="1"/>
  <c r="AC70" i="1"/>
  <c r="AF69" i="1"/>
  <c r="AD70" i="1"/>
  <c r="Y72" i="1"/>
  <c r="Y76" i="1"/>
  <c r="E116" i="1"/>
  <c r="K116" i="1" s="1"/>
  <c r="Q49" i="1"/>
  <c r="Q61" i="1"/>
  <c r="Q62" i="1"/>
  <c r="Q50" i="1"/>
  <c r="AG32" i="1"/>
  <c r="C51" i="1"/>
  <c r="M39" i="1"/>
  <c r="Q39" i="1"/>
  <c r="M43" i="1"/>
  <c r="M44" i="1"/>
  <c r="Q44" i="1"/>
  <c r="N47" i="1"/>
  <c r="AC64" i="1"/>
  <c r="AC65" i="1"/>
  <c r="AF79" i="1"/>
  <c r="M49" i="1"/>
  <c r="M62" i="1"/>
  <c r="U62" i="1" s="1"/>
  <c r="Y62" i="1" s="1"/>
  <c r="M61" i="1"/>
  <c r="U61" i="1" s="1"/>
  <c r="Y61" i="1" s="1"/>
  <c r="M50" i="1"/>
  <c r="AM4" i="1"/>
  <c r="AF8" i="1"/>
  <c r="AC9" i="1"/>
  <c r="C32" i="1"/>
  <c r="AF32" i="1" s="1"/>
  <c r="N39" i="1"/>
  <c r="M40" i="1"/>
  <c r="Q40" i="1"/>
  <c r="P41" i="1"/>
  <c r="N43" i="1"/>
  <c r="N44" i="1"/>
  <c r="M45" i="1"/>
  <c r="Q45" i="1"/>
  <c r="P46" i="1"/>
  <c r="AD64" i="1"/>
  <c r="AD83" i="1"/>
  <c r="N62" i="1"/>
  <c r="N48" i="1"/>
  <c r="N61" i="1"/>
  <c r="N60" i="1"/>
  <c r="U60" i="1" s="1"/>
  <c r="AN4" i="1"/>
  <c r="Q8" i="1"/>
  <c r="AD9" i="1"/>
  <c r="Q32" i="1"/>
  <c r="Q35" i="1"/>
  <c r="AF35" i="1"/>
  <c r="Q36" i="1"/>
  <c r="U36" i="1" s="1"/>
  <c r="AF36" i="1"/>
  <c r="Q37" i="1"/>
  <c r="AF37" i="1"/>
  <c r="P38" i="1"/>
  <c r="N40" i="1"/>
  <c r="U40" i="1" s="1"/>
  <c r="M41" i="1"/>
  <c r="Q41" i="1"/>
  <c r="P42" i="1"/>
  <c r="P43" i="1"/>
  <c r="N45" i="1"/>
  <c r="M46" i="1"/>
  <c r="Q46" i="1"/>
  <c r="P47" i="1"/>
  <c r="P48" i="1"/>
  <c r="U48" i="1" s="1"/>
  <c r="AI48" i="1" s="1"/>
  <c r="AJ48" i="1" s="1"/>
  <c r="AK48" i="1" s="1"/>
  <c r="AL48" i="1" s="1"/>
  <c r="AF48" i="1"/>
  <c r="N49" i="1"/>
  <c r="AC83" i="1"/>
  <c r="C116" i="1"/>
  <c r="G116" i="1"/>
  <c r="X51" i="1"/>
  <c r="AG63" i="1"/>
  <c r="Y68" i="1"/>
  <c r="Y69" i="1" a="1"/>
  <c r="Y69" i="1" s="1"/>
  <c r="AA69" i="1" s="1"/>
  <c r="C79" i="1"/>
  <c r="AG79" i="1"/>
  <c r="K89" i="1"/>
  <c r="W8" i="1" s="1"/>
  <c r="AF61" i="1"/>
  <c r="AD65" i="1"/>
  <c r="Y74" i="1"/>
  <c r="Y78" i="1"/>
  <c r="AE65" i="1"/>
  <c r="AE83" i="1" s="1"/>
  <c r="Y73" i="1"/>
  <c r="Y77" i="1"/>
  <c r="U81" i="1" a="1"/>
  <c r="U81" i="1" s="1"/>
  <c r="AF63" i="1"/>
  <c r="K98" i="1"/>
  <c r="W38" i="1" s="1"/>
  <c r="K106" i="1"/>
  <c r="W46" i="1" s="1"/>
  <c r="U8" i="1" l="1"/>
  <c r="U32" i="1"/>
  <c r="B92" i="1" s="1"/>
  <c r="D92" i="1" s="1"/>
  <c r="F92" i="1" s="1"/>
  <c r="H92" i="1" s="1"/>
  <c r="J92" i="1" s="1"/>
  <c r="U44" i="1"/>
  <c r="U42" i="1"/>
  <c r="AI42" i="1" s="1"/>
  <c r="AJ42" i="1" s="1"/>
  <c r="AK42" i="1" s="1"/>
  <c r="AL42" i="1" s="1"/>
  <c r="U49" i="1"/>
  <c r="U37" i="1"/>
  <c r="AI37" i="1" s="1"/>
  <c r="AJ37" i="1" s="1"/>
  <c r="AK37" i="1" s="1"/>
  <c r="AL37" i="1" s="1"/>
  <c r="U35" i="1"/>
  <c r="B95" i="1" s="1"/>
  <c r="AC33" i="1"/>
  <c r="AG83" i="1"/>
  <c r="B96" i="1"/>
  <c r="D96" i="1" s="1"/>
  <c r="F96" i="1" s="1"/>
  <c r="H96" i="1" s="1"/>
  <c r="J96" i="1" s="1"/>
  <c r="AI36" i="1"/>
  <c r="AJ36" i="1" s="1"/>
  <c r="AK36" i="1" s="1"/>
  <c r="AL36" i="1" s="1"/>
  <c r="Y8" i="1"/>
  <c r="B89" i="1"/>
  <c r="AI49" i="1"/>
  <c r="AJ49" i="1" s="1"/>
  <c r="AK49" i="1" s="1"/>
  <c r="AL49" i="1" s="1"/>
  <c r="B109" i="1"/>
  <c r="D109" i="1" s="1"/>
  <c r="F109" i="1" s="1"/>
  <c r="H109" i="1" s="1"/>
  <c r="J109" i="1" s="1"/>
  <c r="B97" i="1"/>
  <c r="D97" i="1" s="1"/>
  <c r="F97" i="1" s="1"/>
  <c r="H97" i="1" s="1"/>
  <c r="J97" i="1" s="1"/>
  <c r="AI35" i="1"/>
  <c r="AJ35" i="1" s="1"/>
  <c r="AK35" i="1" s="1"/>
  <c r="AL35" i="1" s="1"/>
  <c r="B102" i="1"/>
  <c r="D102" i="1" s="1"/>
  <c r="F102" i="1" s="1"/>
  <c r="H102" i="1" s="1"/>
  <c r="J102" i="1" s="1"/>
  <c r="B100" i="1"/>
  <c r="D100" i="1" s="1"/>
  <c r="F100" i="1" s="1"/>
  <c r="H100" i="1" s="1"/>
  <c r="J100" i="1" s="1"/>
  <c r="AI40" i="1"/>
  <c r="AJ40" i="1" s="1"/>
  <c r="AK40" i="1" s="1"/>
  <c r="AL40" i="1" s="1"/>
  <c r="B108" i="1"/>
  <c r="D108" i="1" s="1"/>
  <c r="F108" i="1" s="1"/>
  <c r="H108" i="1" s="1"/>
  <c r="J108" i="1" s="1"/>
  <c r="U43" i="1"/>
  <c r="K111" i="1"/>
  <c r="W51" i="1" s="1"/>
  <c r="W53" i="1" s="1"/>
  <c r="W65" i="1" s="1"/>
  <c r="AG53" i="1"/>
  <c r="U63" i="1" a="1"/>
  <c r="U63" i="1" s="1"/>
  <c r="Y60" i="1"/>
  <c r="Y63" i="1" a="1"/>
  <c r="Y63" i="1" s="1"/>
  <c r="AD80" i="1"/>
  <c r="C81" i="1"/>
  <c r="AC80" i="1"/>
  <c r="AF51" i="1"/>
  <c r="U39" i="1"/>
  <c r="Y32" i="1"/>
  <c r="AD33" i="1"/>
  <c r="Y81" i="1"/>
  <c r="Z81" i="1" s="1"/>
  <c r="AG65" i="1"/>
  <c r="AG70" i="1"/>
  <c r="AF70" i="1"/>
  <c r="J50" i="1"/>
  <c r="U50" i="1" s="1"/>
  <c r="J47" i="1"/>
  <c r="U47" i="1" s="1"/>
  <c r="J38" i="1"/>
  <c r="U38" i="1" s="1"/>
  <c r="Y51" i="1" s="1" a="1"/>
  <c r="J46" i="1"/>
  <c r="U46" i="1" s="1"/>
  <c r="J41" i="1"/>
  <c r="U41" i="1" s="1"/>
  <c r="J45" i="1"/>
  <c r="U45" i="1" s="1"/>
  <c r="AF80" i="1"/>
  <c r="AA81" i="1"/>
  <c r="AG80" i="1"/>
  <c r="AD52" i="1"/>
  <c r="AC52" i="1"/>
  <c r="C53" i="1"/>
  <c r="AF53" i="1" s="1"/>
  <c r="B104" i="1" l="1"/>
  <c r="D104" i="1" s="1"/>
  <c r="F104" i="1" s="1"/>
  <c r="H104" i="1" s="1"/>
  <c r="J104" i="1" s="1"/>
  <c r="AI44" i="1"/>
  <c r="AJ44" i="1" s="1"/>
  <c r="AK44" i="1" s="1"/>
  <c r="AL44" i="1" s="1"/>
  <c r="Y51" i="1"/>
  <c r="AI51" i="1" s="1"/>
  <c r="AJ51" i="1" s="1"/>
  <c r="AK51" i="1" s="1"/>
  <c r="AL51" i="1" s="1"/>
  <c r="B110" i="1"/>
  <c r="D110" i="1" s="1"/>
  <c r="F110" i="1" s="1"/>
  <c r="H110" i="1" s="1"/>
  <c r="J110" i="1" s="1"/>
  <c r="AI50" i="1"/>
  <c r="AJ50" i="1" s="1"/>
  <c r="AK50" i="1" s="1"/>
  <c r="AL50" i="1" s="1"/>
  <c r="U53" i="1" a="1"/>
  <c r="U53" i="1" s="1"/>
  <c r="Z53" i="1" s="1"/>
  <c r="AA53" i="1" s="1"/>
  <c r="AF81" i="1"/>
  <c r="AI43" i="1"/>
  <c r="AJ43" i="1" s="1"/>
  <c r="AK43" i="1" s="1"/>
  <c r="AL43" i="1" s="1"/>
  <c r="B103" i="1"/>
  <c r="D103" i="1" s="1"/>
  <c r="F103" i="1" s="1"/>
  <c r="H103" i="1" s="1"/>
  <c r="J103" i="1" s="1"/>
  <c r="AI45" i="1"/>
  <c r="AJ45" i="1" s="1"/>
  <c r="AK45" i="1" s="1"/>
  <c r="AL45" i="1" s="1"/>
  <c r="B105" i="1"/>
  <c r="D105" i="1" s="1"/>
  <c r="F105" i="1" s="1"/>
  <c r="H105" i="1" s="1"/>
  <c r="J105" i="1" s="1"/>
  <c r="B107" i="1"/>
  <c r="D107" i="1" s="1"/>
  <c r="F107" i="1" s="1"/>
  <c r="H107" i="1" s="1"/>
  <c r="J107" i="1" s="1"/>
  <c r="AI47" i="1"/>
  <c r="AJ47" i="1" s="1"/>
  <c r="AK47" i="1" s="1"/>
  <c r="AL47" i="1" s="1"/>
  <c r="B99" i="1"/>
  <c r="D99" i="1" s="1"/>
  <c r="F99" i="1" s="1"/>
  <c r="H99" i="1" s="1"/>
  <c r="J99" i="1" s="1"/>
  <c r="AI39" i="1"/>
  <c r="AJ39" i="1" s="1"/>
  <c r="AK39" i="1" s="1"/>
  <c r="AL39" i="1" s="1"/>
  <c r="D95" i="1"/>
  <c r="Y33" i="1"/>
  <c r="Y34" i="1" s="1"/>
  <c r="AI32" i="1"/>
  <c r="AA32" i="1"/>
  <c r="AI41" i="1"/>
  <c r="AJ41" i="1" s="1"/>
  <c r="AK41" i="1" s="1"/>
  <c r="AL41" i="1" s="1"/>
  <c r="B101" i="1"/>
  <c r="D101" i="1" s="1"/>
  <c r="F101" i="1" s="1"/>
  <c r="H101" i="1" s="1"/>
  <c r="J101" i="1" s="1"/>
  <c r="AA63" i="1"/>
  <c r="Z63" i="1"/>
  <c r="U51" i="1" a="1"/>
  <c r="U51" i="1" s="1"/>
  <c r="D89" i="1"/>
  <c r="C65" i="1"/>
  <c r="AD54" i="1"/>
  <c r="AC54" i="1"/>
  <c r="AI46" i="1"/>
  <c r="AJ46" i="1" s="1"/>
  <c r="AK46" i="1" s="1"/>
  <c r="AL46" i="1" s="1"/>
  <c r="B106" i="1"/>
  <c r="D106" i="1" s="1"/>
  <c r="F106" i="1" s="1"/>
  <c r="H106" i="1" s="1"/>
  <c r="J106" i="1" s="1"/>
  <c r="Y9" i="1"/>
  <c r="AI8" i="1"/>
  <c r="Z8" i="1"/>
  <c r="AA8" i="1" s="1"/>
  <c r="B98" i="1"/>
  <c r="D98" i="1" s="1"/>
  <c r="F98" i="1" s="1"/>
  <c r="H98" i="1" s="1"/>
  <c r="J98" i="1" s="1"/>
  <c r="AI38" i="1"/>
  <c r="AJ38" i="1" s="1"/>
  <c r="AK38" i="1" s="1"/>
  <c r="AL38" i="1" s="1"/>
  <c r="AI63" i="1"/>
  <c r="AJ63" i="1" s="1"/>
  <c r="AK63" i="1" s="1"/>
  <c r="AL63" i="1" s="1"/>
  <c r="B114" i="1"/>
  <c r="D114" i="1" s="1"/>
  <c r="F114" i="1" s="1"/>
  <c r="H114" i="1" s="1"/>
  <c r="J114" i="1" s="1"/>
  <c r="Y52" i="1" l="1"/>
  <c r="Y53" i="1"/>
  <c r="Y65" i="1" s="1"/>
  <c r="Y66" i="1" s="1"/>
  <c r="Y67" i="1" s="1"/>
  <c r="AA51" i="1"/>
  <c r="U65" i="1"/>
  <c r="B111" i="1"/>
  <c r="B116" i="1" s="1"/>
  <c r="AF54" i="1"/>
  <c r="AG54" i="1"/>
  <c r="AG9" i="1"/>
  <c r="AA9" i="1"/>
  <c r="AF9" i="1"/>
  <c r="AC66" i="1"/>
  <c r="U83" i="1"/>
  <c r="AD66" i="1"/>
  <c r="E118" i="1"/>
  <c r="AF65" i="1"/>
  <c r="AJ8" i="1"/>
  <c r="C83" i="1"/>
  <c r="AF83" i="1" s="1"/>
  <c r="Z65" i="1"/>
  <c r="Z83" i="1" s="1"/>
  <c r="AG33" i="1"/>
  <c r="AA33" i="1"/>
  <c r="AF33" i="1"/>
  <c r="AF52" i="1"/>
  <c r="AG52" i="1"/>
  <c r="AA52" i="1"/>
  <c r="F89" i="1"/>
  <c r="AA65" i="1"/>
  <c r="AF64" i="1"/>
  <c r="AG64" i="1"/>
  <c r="D111" i="1"/>
  <c r="D116" i="1" s="1"/>
  <c r="F95" i="1"/>
  <c r="AI53" i="1"/>
  <c r="AI65" i="1" s="1"/>
  <c r="AJ32" i="1"/>
  <c r="AG66" i="1" l="1"/>
  <c r="AA66" i="1"/>
  <c r="AF66" i="1"/>
  <c r="B1" i="1"/>
  <c r="AA83" i="1"/>
  <c r="AJ53" i="1"/>
  <c r="AJ65" i="1" s="1"/>
  <c r="AK32" i="1"/>
  <c r="AK8" i="1"/>
  <c r="H95" i="1"/>
  <c r="F111" i="1"/>
  <c r="F116" i="1" s="1"/>
  <c r="H89" i="1"/>
  <c r="AK53" i="1" l="1"/>
  <c r="AK65" i="1" s="1"/>
  <c r="AL32" i="1"/>
  <c r="AL53" i="1" s="1"/>
  <c r="AL8" i="1"/>
  <c r="J89" i="1"/>
  <c r="B2" i="1"/>
  <c r="B5" i="1"/>
  <c r="B3" i="1"/>
  <c r="H111" i="1"/>
  <c r="H116" i="1" s="1"/>
  <c r="J95" i="1"/>
  <c r="J111" i="1" s="1"/>
  <c r="J116" i="1" l="1"/>
  <c r="AL65" i="1"/>
</calcChain>
</file>

<file path=xl/comments1.xml><?xml version="1.0" encoding="utf-8"?>
<comments xmlns="http://schemas.openxmlformats.org/spreadsheetml/2006/main">
  <authors>
    <author>Bill Rosenberg</author>
    <author>Bill</author>
    <author>WJ Rosenberg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0 to include non-demographic growth and productivity increase
1 to exclude them</t>
        </r>
      </text>
    </comment>
    <comment ref="D4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Set to aggregated cost of settlements.</t>
        </r>
      </text>
    </comment>
    <comment ref="E4" authorId="2" shapeId="0">
      <text>
        <r>
          <rPr>
            <sz val="8"/>
            <color indexed="81"/>
            <rFont val="Tahoma"/>
            <family val="2"/>
          </rPr>
          <t xml:space="preserve">
Estimated from DHB consolidated accounts. 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Set to aggregated cost of settlements.</t>
        </r>
      </text>
    </comment>
    <comment ref="G4" authorId="2" shapeId="0">
      <text>
        <r>
          <rPr>
            <sz val="8"/>
            <color indexed="81"/>
            <rFont val="Tahoma"/>
            <family val="2"/>
          </rPr>
          <t xml:space="preserve">
Estimated from DHB consolidated accounts. 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Set to aggregated cost of settlements.</t>
        </r>
      </text>
    </comment>
    <comment ref="I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From DHB consolidated accounts. </t>
        </r>
      </text>
    </comment>
    <comment ref="J4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Weighted average of areas of funding, from DHB Consolidated Accounts.</t>
        </r>
      </text>
    </comment>
    <comment ref="L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With health sector, assume CPI.</t>
        </r>
      </text>
    </comment>
    <comment ref="N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Assume CPI</t>
        </r>
      </text>
    </comment>
    <comment ref="O4" authorId="2" shapeId="0">
      <text>
        <r>
          <rPr>
            <sz val="8"/>
            <color indexed="81"/>
            <rFont val="Tahoma"/>
            <family val="2"/>
          </rPr>
          <t xml:space="preserve">From MOH
</t>
        </r>
      </text>
    </comment>
    <comment ref="P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Treasury:Health Projections and Policy Options: Background paper for the 2013 statement on the long term fiscal position”, July 2013, p.20</t>
        </r>
      </text>
    </comment>
    <comment ref="Q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Treasury assumes 0.3% in its long term fiscal forecasts.</t>
        </r>
      </text>
    </comment>
    <comment ref="S4" authorId="2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Capital Goods price index in year to March 2016 rose 3.1%  </t>
        </r>
      </text>
    </comment>
    <comment ref="AI4" authorId="2" shapeId="0">
      <text>
        <r>
          <rPr>
            <sz val="8"/>
            <color indexed="81"/>
            <rFont val="Tahoma"/>
            <family val="2"/>
          </rPr>
          <t xml:space="preserve">
From Consolidated DHB Provider Arm Accounts. Assume it also applies to funded organisations and Ministry.</t>
        </r>
      </text>
    </comment>
    <comment ref="AJ4" authorId="2" shapeId="0">
      <text>
        <r>
          <rPr>
            <sz val="8"/>
            <color indexed="81"/>
            <rFont val="Tahoma"/>
            <family val="2"/>
          </rPr>
          <t xml:space="preserve">
NZIER consensus forecast mean is 1.6% for the year to to March 2017.  Treasury forecast 2.1% in year to March 2017 and 1.9% in year to June 2017 in HYEFU 2015, but 1.5% in year to June 2017 in 2016 BEFU.
RBNZ forecast for year to March 2017 is 1.3%, and 1.6% for year to June 2017 (March 2016 MPS)</t>
        </r>
      </text>
    </comment>
    <comment ref="AK4" authorId="2" shapeId="0">
      <text>
        <r>
          <rPr>
            <sz val="8"/>
            <color indexed="81"/>
            <rFont val="Tahoma"/>
            <family val="2"/>
          </rPr>
          <t xml:space="preserve">
Actual births rose 6.6% in year to December 2015.
(Statistics New Zealand, BD)
NPP shows 1.1% average increase 2015-18 for births under cyclic and high migration scenarios.</t>
        </r>
      </text>
    </comment>
    <comment ref="AL4" authorId="2" shapeId="0">
      <text>
        <r>
          <rPr>
            <sz val="8"/>
            <color indexed="81"/>
            <rFont val="Tahoma"/>
            <family val="2"/>
          </rPr>
          <t xml:space="preserve">Growth has been -0.1% in years to June 2012 and 2013,  0.3% in the year to June 2014 and 0.5% in year to June 2015 (Statistics NZ NPE)
NPP shows average growth rate 2014-18 of -0.1% under "cyclic migration" scenario and 0.5% under "very high migration" scenario which assumes net migration of 25,000 in each year after 2016. It is currently much more than that.
</t>
        </r>
      </text>
    </comment>
    <comment ref="AO4" authorId="1" shapeId="0">
      <text>
        <r>
          <rPr>
            <sz val="9"/>
            <color indexed="81"/>
            <rFont val="Tahoma"/>
            <family val="2"/>
          </rPr>
          <t xml:space="preserve">
RBNZ, year to June 2017,  All Sal &amp; Wage Rates Private Sector, forecast made March 2016</t>
        </r>
      </text>
    </comment>
    <comment ref="AP4" authorId="1" shapeId="0">
      <text>
        <r>
          <rPr>
            <sz val="9"/>
            <color indexed="81"/>
            <rFont val="Tahoma"/>
            <family val="2"/>
          </rPr>
          <t xml:space="preserve">
Approximate from consolidated accounts</t>
        </r>
      </text>
    </comment>
    <comment ref="AQ4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Minimum wage rose 3.4% as from 1 April 2016</t>
        </r>
      </text>
    </comment>
    <comment ref="AS4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Set to cost of settlements calculated by MOH ($98.8m), taken as proportion of estimated DHB provider wage bill</t>
        </r>
      </text>
    </comment>
    <comment ref="AC8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Including Multi-Category Expenses</t>
        </r>
      </text>
    </comment>
    <comment ref="A37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Supplementary Estimates 2016 note (p.345) that the National Advisory and Support Services appropriation is being disestablished from Budget 2016, with these services funded from National Contracted Services - Other ($240,000 in 2015/16) and National Māori Health Services ($20,000 in 2015/16).</t>
        </r>
      </text>
    </comment>
    <comment ref="A51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Note that Health Services Funding and National Advisory and Support Services have been discontinued since 2015/16. What remains of Health Services Funding now appears as capital in Deficit Support for DHBs.</t>
        </r>
      </text>
    </comment>
    <comment ref="A104" authorId="1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Did not spend full 2015/16 Budget</t>
        </r>
      </text>
    </comment>
  </commentList>
</comments>
</file>

<file path=xl/sharedStrings.xml><?xml version="1.0" encoding="utf-8"?>
<sst xmlns="http://schemas.openxmlformats.org/spreadsheetml/2006/main" count="180" uniqueCount="139">
  <si>
    <t>Summary: additional operational funding required</t>
  </si>
  <si>
    <t>For 2016/17</t>
  </si>
  <si>
    <t>Budget 2016</t>
  </si>
  <si>
    <t>2015/16</t>
  </si>
  <si>
    <t>Medical salary increases</t>
  </si>
  <si>
    <t>Medical proportion of DHB expenditure</t>
  </si>
  <si>
    <t>Nursing salary increases</t>
  </si>
  <si>
    <t>Nursing proportion of DHB expenditure</t>
  </si>
  <si>
    <t>Other Wage  increases - DHB Provider</t>
  </si>
  <si>
    <t>Other Wage proportion of DHB provider expenditure</t>
  </si>
  <si>
    <t>Wage  increases in DHB funded services</t>
  </si>
  <si>
    <t>Other Wage proportion of DHB funded activities expenditure</t>
  </si>
  <si>
    <t>Non-labour health services cost increases</t>
  </si>
  <si>
    <t>Non-labour proportion</t>
  </si>
  <si>
    <t>Non-labour general cost increases</t>
  </si>
  <si>
    <t>Population growth, including ageing effect</t>
  </si>
  <si>
    <t>Non-demographic growth</t>
  </si>
  <si>
    <t>Productivity growth</t>
  </si>
  <si>
    <t>Capital Goods proportion</t>
  </si>
  <si>
    <t>Capital Goods price increase</t>
  </si>
  <si>
    <t>Total increases</t>
  </si>
  <si>
    <t>Additional costs identified for 2016/17</t>
  </si>
  <si>
    <t>Restructuring/devolution</t>
  </si>
  <si>
    <t>Required</t>
  </si>
  <si>
    <t>Totals</t>
  </si>
  <si>
    <t>Increase Required</t>
  </si>
  <si>
    <t>After Supplementary</t>
  </si>
  <si>
    <t>Est actual</t>
  </si>
  <si>
    <t>2016/17</t>
  </si>
  <si>
    <t>Increase Budget 2016 on Budget 2015</t>
  </si>
  <si>
    <t>Increase Budget 2016 on Supplementary</t>
  </si>
  <si>
    <t>Labour  proportion of expenditure</t>
  </si>
  <si>
    <t>CPI</t>
  </si>
  <si>
    <t>Increase in births</t>
  </si>
  <si>
    <t>Child popn growth (0 - 14 yrs old)</t>
  </si>
  <si>
    <t>DHB provider wage increase</t>
  </si>
  <si>
    <t>Total wage increase</t>
  </si>
  <si>
    <t>Forecast LCI</t>
  </si>
  <si>
    <t>Provider proportion of DHB expenditure</t>
  </si>
  <si>
    <t>Wage increases in high MinimumWage sectors</t>
  </si>
  <si>
    <t>Other wages increases</t>
  </si>
  <si>
    <t>Without 'new policy initiatives' and 'savings'</t>
  </si>
  <si>
    <t>$000</t>
  </si>
  <si>
    <t>%</t>
  </si>
  <si>
    <t>For sensitivity testing</t>
  </si>
  <si>
    <t>Parameters:</t>
  </si>
  <si>
    <t>Shortfall</t>
  </si>
  <si>
    <t>Cost increases only</t>
  </si>
  <si>
    <t>Including "initiatives"</t>
  </si>
  <si>
    <t>After shifts to DHBs/Vote restructuring</t>
  </si>
  <si>
    <t>After "savings"</t>
  </si>
  <si>
    <t>Department operating appropriations</t>
  </si>
  <si>
    <t>Without additional costs</t>
  </si>
  <si>
    <t>Increase</t>
  </si>
  <si>
    <t>Below need by</t>
  </si>
  <si>
    <t>Non-Departmental Output Expenses</t>
  </si>
  <si>
    <t>DHBs</t>
  </si>
  <si>
    <t>Auckland</t>
  </si>
  <si>
    <t>Bay of Plenty</t>
  </si>
  <si>
    <t>Canterbury</t>
  </si>
  <si>
    <t>Capital and Coast</t>
  </si>
  <si>
    <t>Counties-Manukau</t>
  </si>
  <si>
    <t xml:space="preserve"> </t>
  </si>
  <si>
    <t>Hawkes Bay</t>
  </si>
  <si>
    <t>Hutt</t>
  </si>
  <si>
    <t>Lakes</t>
  </si>
  <si>
    <t>MidCentral</t>
  </si>
  <si>
    <t>Nelson-Marlborough</t>
  </si>
  <si>
    <t>Northland</t>
  </si>
  <si>
    <t>South Canterbury</t>
  </si>
  <si>
    <t>Southern</t>
  </si>
  <si>
    <t>Tairawhiti</t>
  </si>
  <si>
    <t>Taranaki</t>
  </si>
  <si>
    <t>Waikato</t>
  </si>
  <si>
    <t>Wairarapa</t>
  </si>
  <si>
    <t>Waitemata</t>
  </si>
  <si>
    <t>West Coast</t>
  </si>
  <si>
    <t>Whanganui</t>
  </si>
  <si>
    <t>Total DHBs</t>
  </si>
  <si>
    <t>Health Workforce Training and Development</t>
  </si>
  <si>
    <t>Monitoring and Protecting Health and Disability Consumer Interests</t>
  </si>
  <si>
    <t>National Advisory and Support Services</t>
  </si>
  <si>
    <t>National Child Health Services</t>
  </si>
  <si>
    <t>National Contracted Services - Other</t>
  </si>
  <si>
    <t>National Disability Support Services</t>
  </si>
  <si>
    <t>National Elective Services</t>
  </si>
  <si>
    <t>National Emergency Services</t>
  </si>
  <si>
    <t xml:space="preserve">National Health Information Systems </t>
  </si>
  <si>
    <t>National Māori Health Services</t>
  </si>
  <si>
    <t>National Maternity Services</t>
  </si>
  <si>
    <t>National Mental Health Services</t>
  </si>
  <si>
    <t>National Personal Health Services</t>
  </si>
  <si>
    <t>Primary Health Care Strategy</t>
  </si>
  <si>
    <t>Problem Gambling Services</t>
  </si>
  <si>
    <t>Public Health Service Purchasing</t>
  </si>
  <si>
    <t>Total non-DHB</t>
  </si>
  <si>
    <t>Total Non-Departmental Output Expenses</t>
  </si>
  <si>
    <t>Departmental Other Expenses</t>
  </si>
  <si>
    <t>Total Departmental Other Expenses</t>
  </si>
  <si>
    <t>Non-Departmental Other Expenses</t>
  </si>
  <si>
    <t>International Health Organisations</t>
  </si>
  <si>
    <t>Legal Expenses</t>
  </si>
  <si>
    <t>Provider Development</t>
  </si>
  <si>
    <t>Total Non-Departmental Other Expenses</t>
  </si>
  <si>
    <t>Total Operational Expenses</t>
  </si>
  <si>
    <t>Departmental Capital Expenditure</t>
  </si>
  <si>
    <t>Ministry of Health - Capital Expenditure PLA</t>
  </si>
  <si>
    <t>Total Departmental Capital Expenditure</t>
  </si>
  <si>
    <t>Non-Departmental Capital Expenditure</t>
  </si>
  <si>
    <t>Equity for Capital Projects for DHBs and Health Sector Crown Agencies</t>
  </si>
  <si>
    <t>Health Sector Projects</t>
  </si>
  <si>
    <t>Refinance of Crown Loans</t>
  </si>
  <si>
    <t>Refinance of DHB Private Debt</t>
  </si>
  <si>
    <t>Residential Care Loans</t>
  </si>
  <si>
    <t>Deficit Support for DHBs</t>
  </si>
  <si>
    <t>Loans for Capital Projects</t>
  </si>
  <si>
    <t>Total Non-Departmental Capital Expenditure</t>
  </si>
  <si>
    <t>Total Capital Expenditure</t>
  </si>
  <si>
    <t>Total Annual and Permanent Appropriations</t>
  </si>
  <si>
    <t>Summary of position, including "initiatives"</t>
  </si>
  <si>
    <t>Required for rising costs and population</t>
  </si>
  <si>
    <t>Appropriation</t>
  </si>
  <si>
    <t>Shortfall on rising costs and population</t>
  </si>
  <si>
    <t>Initiatives</t>
  </si>
  <si>
    <t>Shortfall after initiatives</t>
  </si>
  <si>
    <t>Devolution to DHBs/restructured vote</t>
  </si>
  <si>
    <t>Shortfall after devolution/restructured vote</t>
  </si>
  <si>
    <t>Savings</t>
  </si>
  <si>
    <t>Shortfall after savings and restructuring</t>
  </si>
  <si>
    <t>Net additional costs of initiatives</t>
  </si>
  <si>
    <t>Departmental "Initiatives"</t>
  </si>
  <si>
    <t>Departmental appropriation</t>
  </si>
  <si>
    <t>DHB "Initiatives"</t>
  </si>
  <si>
    <t>DHB Appropriations</t>
  </si>
  <si>
    <t>National health services position</t>
  </si>
  <si>
    <t>Non-Departmental Other Expenses "initiatives"</t>
  </si>
  <si>
    <t>Total</t>
  </si>
  <si>
    <t>Total initiatives as % operating expenses</t>
  </si>
  <si>
    <t>Cost of Settlement 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</si>
</sst>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&quot;as proportion of operating allowance of&quot;\ &quot;$&quot;0.0&quot;b&quot;"/>
    <numFmt numFmtId="166" formatCode="0.0%"/>
    <numFmt numFmtId="167" formatCode="[Red]#,##0;\-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164" fontId="4" fillId="0" borderId="0" xfId="1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5" fontId="4" fillId="0" borderId="0" xfId="0" applyNumberFormat="1" applyFont="1" applyAlignment="1">
      <alignment horizontal="left" vertical="top"/>
    </xf>
    <xf numFmtId="166" fontId="4" fillId="0" borderId="0" xfId="2" applyNumberFormat="1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166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center"/>
    </xf>
    <xf numFmtId="10" fontId="3" fillId="0" borderId="2" xfId="0" applyNumberFormat="1" applyFont="1" applyFill="1" applyBorder="1" applyAlignment="1">
      <alignment horizontal="center"/>
    </xf>
    <xf numFmtId="10" fontId="0" fillId="0" borderId="0" xfId="0" applyNumberFormat="1" applyFill="1"/>
    <xf numFmtId="0" fontId="0" fillId="0" borderId="0" xfId="0" applyFill="1"/>
    <xf numFmtId="6" fontId="0" fillId="0" borderId="0" xfId="0" applyNumberFormat="1" applyFill="1"/>
    <xf numFmtId="166" fontId="3" fillId="0" borderId="0" xfId="0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164" fontId="0" fillId="0" borderId="0" xfId="0" applyNumberFormat="1" applyFill="1"/>
    <xf numFmtId="49" fontId="3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left"/>
    </xf>
    <xf numFmtId="10" fontId="4" fillId="0" borderId="0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center"/>
    </xf>
    <xf numFmtId="10" fontId="0" fillId="0" borderId="0" xfId="0" applyNumberFormat="1"/>
    <xf numFmtId="0" fontId="0" fillId="0" borderId="0" xfId="0" applyFill="1" applyBorder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3" fontId="3" fillId="0" borderId="0" xfId="0" applyNumberFormat="1" applyFont="1"/>
    <xf numFmtId="10" fontId="0" fillId="0" borderId="0" xfId="0" applyNumberFormat="1" applyFont="1"/>
    <xf numFmtId="166" fontId="0" fillId="0" borderId="0" xfId="0" applyNumberFormat="1"/>
    <xf numFmtId="3" fontId="0" fillId="2" borderId="4" xfId="0" applyNumberFormat="1" applyFill="1" applyBorder="1"/>
    <xf numFmtId="3" fontId="0" fillId="2" borderId="5" xfId="0" applyNumberFormat="1" applyFill="1" applyBorder="1"/>
    <xf numFmtId="3" fontId="0" fillId="0" borderId="0" xfId="0" applyNumberFormat="1" applyFont="1"/>
    <xf numFmtId="3" fontId="3" fillId="2" borderId="6" xfId="0" applyNumberFormat="1" applyFont="1" applyFill="1" applyBorder="1"/>
    <xf numFmtId="3" fontId="3" fillId="0" borderId="0" xfId="0" applyNumberFormat="1" applyFont="1" applyFill="1" applyBorder="1"/>
    <xf numFmtId="3" fontId="0" fillId="2" borderId="7" xfId="0" applyNumberFormat="1" applyFill="1" applyBorder="1"/>
    <xf numFmtId="3" fontId="0" fillId="2" borderId="8" xfId="0" applyNumberFormat="1" applyFill="1" applyBorder="1"/>
    <xf numFmtId="3" fontId="0" fillId="2" borderId="9" xfId="0" applyNumberFormat="1" applyFill="1" applyBorder="1"/>
    <xf numFmtId="10" fontId="0" fillId="0" borderId="0" xfId="0" applyNumberFormat="1" applyBorder="1"/>
    <xf numFmtId="10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left"/>
    </xf>
    <xf numFmtId="10" fontId="1" fillId="0" borderId="0" xfId="2" applyNumberFormat="1" applyFont="1" applyBorder="1"/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3" fontId="0" fillId="0" borderId="0" xfId="0" applyNumberFormat="1"/>
    <xf numFmtId="3" fontId="0" fillId="0" borderId="0" xfId="0" applyNumberFormat="1" applyFill="1" applyBorder="1"/>
    <xf numFmtId="0" fontId="0" fillId="0" borderId="0" xfId="0" applyAlignment="1">
      <alignment horizontal="left" indent="1"/>
    </xf>
    <xf numFmtId="3" fontId="0" fillId="0" borderId="0" xfId="0" applyNumberFormat="1" applyFont="1" applyFill="1" applyBorder="1"/>
    <xf numFmtId="0" fontId="0" fillId="0" borderId="0" xfId="0" applyAlignment="1">
      <alignment horizontal="left" indent="2"/>
    </xf>
    <xf numFmtId="3" fontId="6" fillId="0" borderId="0" xfId="0" applyNumberFormat="1" applyFont="1" applyFill="1" applyBorder="1" applyAlignment="1" applyProtection="1"/>
    <xf numFmtId="166" fontId="0" fillId="0" borderId="0" xfId="0" applyNumberFormat="1" applyBorder="1"/>
    <xf numFmtId="3" fontId="0" fillId="0" borderId="0" xfId="0" applyNumberFormat="1" applyFont="1" applyBorder="1"/>
    <xf numFmtId="0" fontId="0" fillId="0" borderId="1" xfId="0" applyBorder="1" applyAlignment="1">
      <alignment horizontal="left" indent="2"/>
    </xf>
    <xf numFmtId="3" fontId="0" fillId="0" borderId="1" xfId="0" applyNumberFormat="1" applyFont="1" applyBorder="1"/>
    <xf numFmtId="3" fontId="3" fillId="0" borderId="0" xfId="0" applyNumberFormat="1" applyFont="1" applyBorder="1"/>
    <xf numFmtId="3" fontId="6" fillId="0" borderId="1" xfId="0" applyNumberFormat="1" applyFont="1" applyFill="1" applyBorder="1" applyAlignment="1" applyProtection="1"/>
    <xf numFmtId="3" fontId="3" fillId="0" borderId="1" xfId="0" applyNumberFormat="1" applyFont="1" applyFill="1" applyBorder="1"/>
    <xf numFmtId="0" fontId="3" fillId="0" borderId="0" xfId="0" applyFont="1" applyAlignment="1">
      <alignment horizontal="left" indent="2"/>
    </xf>
    <xf numFmtId="10" fontId="3" fillId="0" borderId="0" xfId="0" applyNumberFormat="1" applyFont="1"/>
    <xf numFmtId="3" fontId="3" fillId="2" borderId="10" xfId="0" applyNumberFormat="1" applyFont="1" applyFill="1" applyBorder="1"/>
    <xf numFmtId="10" fontId="4" fillId="0" borderId="0" xfId="0" applyNumberFormat="1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left"/>
    </xf>
    <xf numFmtId="10" fontId="1" fillId="0" borderId="0" xfId="2" applyNumberFormat="1" applyFont="1"/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Alignment="1">
      <alignment horizontal="left"/>
    </xf>
    <xf numFmtId="0" fontId="4" fillId="0" borderId="0" xfId="0" applyFont="1" applyFill="1" applyBorder="1"/>
    <xf numFmtId="0" fontId="0" fillId="0" borderId="0" xfId="0" applyFill="1" applyAlignment="1">
      <alignment horizontal="left" indent="1"/>
    </xf>
    <xf numFmtId="3" fontId="0" fillId="0" borderId="0" xfId="0" applyNumberFormat="1" applyFont="1" applyFill="1"/>
    <xf numFmtId="10" fontId="0" fillId="0" borderId="0" xfId="0" applyNumberFormat="1" applyFont="1" applyFill="1"/>
    <xf numFmtId="166" fontId="0" fillId="0" borderId="0" xfId="0" applyNumberFormat="1" applyFill="1"/>
    <xf numFmtId="0" fontId="0" fillId="0" borderId="1" xfId="0" applyBorder="1" applyAlignment="1">
      <alignment horizontal="left" indent="1"/>
    </xf>
    <xf numFmtId="10" fontId="0" fillId="0" borderId="1" xfId="0" applyNumberFormat="1" applyBorder="1"/>
    <xf numFmtId="10" fontId="0" fillId="0" borderId="1" xfId="0" applyNumberFormat="1" applyFont="1" applyBorder="1"/>
    <xf numFmtId="166" fontId="0" fillId="0" borderId="1" xfId="0" applyNumberFormat="1" applyBorder="1"/>
    <xf numFmtId="3" fontId="0" fillId="0" borderId="1" xfId="0" applyNumberFormat="1" applyFill="1" applyBorder="1"/>
    <xf numFmtId="0" fontId="3" fillId="0" borderId="0" xfId="0" applyFont="1" applyAlignment="1">
      <alignment horizontal="left" indent="1"/>
    </xf>
    <xf numFmtId="10" fontId="3" fillId="0" borderId="0" xfId="0" applyNumberFormat="1" applyFont="1" applyBorder="1"/>
    <xf numFmtId="3" fontId="3" fillId="0" borderId="0" xfId="0" applyNumberFormat="1" applyFont="1" applyFill="1"/>
    <xf numFmtId="10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10" fontId="1" fillId="0" borderId="1" xfId="2" applyNumberFormat="1" applyFont="1" applyBorder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3" fillId="0" borderId="2" xfId="0" applyFont="1" applyBorder="1"/>
    <xf numFmtId="3" fontId="3" fillId="0" borderId="2" xfId="0" applyNumberFormat="1" applyFont="1" applyBorder="1"/>
    <xf numFmtId="3" fontId="4" fillId="0" borderId="0" xfId="0" applyNumberFormat="1" applyFont="1" applyFill="1" applyBorder="1"/>
    <xf numFmtId="3" fontId="0" fillId="0" borderId="0" xfId="0" applyNumberFormat="1" applyFill="1"/>
    <xf numFmtId="3" fontId="0" fillId="0" borderId="1" xfId="0" applyNumberFormat="1" applyFont="1" applyFill="1" applyBorder="1"/>
    <xf numFmtId="0" fontId="3" fillId="0" borderId="0" xfId="0" applyFont="1" applyBorder="1"/>
    <xf numFmtId="0" fontId="3" fillId="0" borderId="11" xfId="0" applyFont="1" applyBorder="1"/>
    <xf numFmtId="3" fontId="3" fillId="0" borderId="11" xfId="0" applyNumberFormat="1" applyFont="1" applyBorder="1"/>
    <xf numFmtId="10" fontId="0" fillId="0" borderId="11" xfId="0" applyNumberFormat="1" applyBorder="1"/>
    <xf numFmtId="10" fontId="3" fillId="0" borderId="11" xfId="0" applyNumberFormat="1" applyFont="1" applyBorder="1"/>
    <xf numFmtId="166" fontId="0" fillId="0" borderId="11" xfId="0" applyNumberFormat="1" applyBorder="1"/>
    <xf numFmtId="3" fontId="3" fillId="0" borderId="11" xfId="0" applyNumberFormat="1" applyFont="1" applyFill="1" applyBorder="1"/>
    <xf numFmtId="10" fontId="4" fillId="0" borderId="0" xfId="0" applyNumberFormat="1" applyFont="1"/>
    <xf numFmtId="3" fontId="0" fillId="0" borderId="0" xfId="0" applyNumberFormat="1" applyBorder="1"/>
    <xf numFmtId="3" fontId="3" fillId="0" borderId="2" xfId="0" applyNumberFormat="1" applyFont="1" applyFill="1" applyBorder="1"/>
    <xf numFmtId="0" fontId="0" fillId="0" borderId="0" xfId="0" applyFont="1"/>
    <xf numFmtId="0" fontId="6" fillId="0" borderId="0" xfId="0" applyNumberFormat="1" applyFont="1" applyFill="1" applyBorder="1" applyAlignment="1" applyProtection="1"/>
    <xf numFmtId="0" fontId="0" fillId="0" borderId="11" xfId="0" applyBorder="1"/>
    <xf numFmtId="0" fontId="3" fillId="0" borderId="12" xfId="0" applyFont="1" applyBorder="1"/>
    <xf numFmtId="3" fontId="3" fillId="0" borderId="12" xfId="0" applyNumberFormat="1" applyFont="1" applyBorder="1"/>
    <xf numFmtId="10" fontId="0" fillId="0" borderId="12" xfId="0" applyNumberFormat="1" applyBorder="1"/>
    <xf numFmtId="10" fontId="3" fillId="0" borderId="12" xfId="0" applyNumberFormat="1" applyFont="1" applyBorder="1"/>
    <xf numFmtId="0" fontId="0" fillId="0" borderId="12" xfId="0" applyBorder="1"/>
    <xf numFmtId="3" fontId="3" fillId="0" borderId="12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wrapText="1"/>
    </xf>
    <xf numFmtId="167" fontId="0" fillId="0" borderId="0" xfId="0" applyNumberFormat="1" applyFill="1"/>
    <xf numFmtId="2" fontId="0" fillId="0" borderId="0" xfId="0" applyNumberFormat="1"/>
    <xf numFmtId="167" fontId="0" fillId="0" borderId="1" xfId="0" applyNumberFormat="1" applyFill="1" applyBorder="1"/>
    <xf numFmtId="0" fontId="0" fillId="0" borderId="2" xfId="0" applyFill="1" applyBorder="1"/>
    <xf numFmtId="167" fontId="3" fillId="0" borderId="0" xfId="0" applyNumberFormat="1" applyFont="1" applyFill="1"/>
    <xf numFmtId="0" fontId="3" fillId="0" borderId="11" xfId="0" applyFont="1" applyFill="1" applyBorder="1"/>
    <xf numFmtId="167" fontId="3" fillId="0" borderId="11" xfId="0" applyNumberFormat="1" applyFont="1" applyFill="1" applyBorder="1"/>
    <xf numFmtId="10" fontId="1" fillId="0" borderId="0" xfId="2" applyNumberFormat="1" applyFont="1" applyFill="1"/>
    <xf numFmtId="0" fontId="2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ealth%20Sector%20-%202016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ed to Total Exp, GDP"/>
      <sheetName val="Multiyear"/>
      <sheetName val="Multiyear 2"/>
      <sheetName val="MOH, Coleman calc"/>
      <sheetName val="Official shortfall ests"/>
      <sheetName val="Demographics"/>
      <sheetName val="Health Vote 2016-17"/>
      <sheetName val="2016 Health appropriations"/>
      <sheetName val="Health Vote 2016-17 pre-Budget"/>
      <sheetName val="Notes 2016-17 pre-Budget"/>
      <sheetName val="MOH financial report 2015"/>
      <sheetName val="Health Vote 2015-16"/>
      <sheetName val="2015 Health appropriations"/>
      <sheetName val="Health Vote 2015-16 pre-Budget"/>
      <sheetName val="Health Vote 2014-15"/>
      <sheetName val="2014 Health appropriations"/>
      <sheetName val="Health Vote 2014-15 pre-Budget"/>
      <sheetName val="Labour-Infometrics"/>
      <sheetName val="Employees"/>
      <sheetName val="Health Vote 2013-14"/>
      <sheetName val="Health Vote 2013-14 pre-Budget"/>
      <sheetName val="2013 Health appropriations"/>
      <sheetName val="HBL"/>
      <sheetName val="Population, ageing"/>
      <sheetName val="Ministry est 2012-13"/>
      <sheetName val="Health Vote 2012-13"/>
      <sheetName val="2012 Health appropriations"/>
      <sheetName val="2012 Health initiatives"/>
      <sheetName val="Supplementary Estimates 2011-12"/>
      <sheetName val="Health Vote 2011-12"/>
      <sheetName val="2011 Health appropriations"/>
      <sheetName val="2011 Health initiatives"/>
      <sheetName val="Supplementary Estimates 2010-11"/>
      <sheetName val="Health Vote 2010-11 - post"/>
      <sheetName val="Health Vote 2010-11"/>
      <sheetName val="2010 Health appropriations"/>
      <sheetName val="2010 New Policy initiatives"/>
      <sheetName val="2009 New Policy Initiatives"/>
      <sheetName val="2008 New Policy Initiatives"/>
      <sheetName val="2007 New Policy Initiatives"/>
      <sheetName val="2006 New Policy Initiatives"/>
      <sheetName val="DHB Financial perf sample"/>
      <sheetName val="Consolidated DHB Personnel Exp"/>
      <sheetName val="Personnel costs"/>
      <sheetName val="Calc"/>
      <sheetName val="Average wage"/>
      <sheetName val="LCI"/>
      <sheetName val="Wage aggregates"/>
      <sheetName val="Data"/>
      <sheetName val="Health CPI, PPI, Cap Goods 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>
            <v>39000</v>
          </cell>
        </row>
        <row r="5">
          <cell r="D5">
            <v>24000</v>
          </cell>
        </row>
        <row r="6">
          <cell r="D6">
            <v>14329</v>
          </cell>
        </row>
        <row r="9">
          <cell r="D9">
            <v>5480</v>
          </cell>
        </row>
        <row r="10">
          <cell r="D10">
            <v>1000</v>
          </cell>
        </row>
        <row r="11">
          <cell r="D11">
            <v>4500</v>
          </cell>
        </row>
        <row r="12">
          <cell r="D12">
            <v>6456</v>
          </cell>
        </row>
        <row r="13">
          <cell r="D13">
            <v>2945</v>
          </cell>
        </row>
        <row r="14">
          <cell r="D14">
            <v>2500</v>
          </cell>
        </row>
        <row r="17">
          <cell r="D17">
            <v>3000</v>
          </cell>
        </row>
        <row r="18">
          <cell r="D18">
            <v>3000</v>
          </cell>
        </row>
        <row r="22">
          <cell r="D22">
            <v>70</v>
          </cell>
        </row>
        <row r="24">
          <cell r="D24">
            <v>-197</v>
          </cell>
        </row>
        <row r="36">
          <cell r="D36">
            <v>11000</v>
          </cell>
        </row>
        <row r="40">
          <cell r="D40">
            <v>-31845</v>
          </cell>
        </row>
        <row r="41">
          <cell r="D41">
            <v>31845</v>
          </cell>
        </row>
        <row r="42">
          <cell r="D42">
            <v>-13000</v>
          </cell>
        </row>
        <row r="43">
          <cell r="D43">
            <v>13000</v>
          </cell>
        </row>
        <row r="44">
          <cell r="D44">
            <v>-260</v>
          </cell>
        </row>
        <row r="45">
          <cell r="D45">
            <v>240</v>
          </cell>
        </row>
        <row r="46">
          <cell r="D46">
            <v>20</v>
          </cell>
        </row>
        <row r="47">
          <cell r="D47">
            <v>-15321</v>
          </cell>
        </row>
        <row r="48">
          <cell r="D48">
            <v>15321</v>
          </cell>
        </row>
        <row r="49">
          <cell r="D49">
            <v>-2309</v>
          </cell>
        </row>
        <row r="50">
          <cell r="D50">
            <v>2309</v>
          </cell>
        </row>
      </sheetData>
      <sheetData sheetId="8"/>
      <sheetData sheetId="9">
        <row r="68">
          <cell r="C68">
            <v>2.5493909110655667E-2</v>
          </cell>
        </row>
      </sheetData>
      <sheetData sheetId="10"/>
      <sheetData sheetId="11">
        <row r="8">
          <cell r="AD8">
            <v>192432</v>
          </cell>
        </row>
        <row r="12">
          <cell r="AD12">
            <v>1115555</v>
          </cell>
        </row>
        <row r="13">
          <cell r="AD13">
            <v>633648</v>
          </cell>
        </row>
        <row r="14">
          <cell r="AD14">
            <v>1281426</v>
          </cell>
        </row>
        <row r="15">
          <cell r="AD15">
            <v>689554</v>
          </cell>
        </row>
        <row r="16">
          <cell r="AD16">
            <v>1268476</v>
          </cell>
        </row>
        <row r="17">
          <cell r="AD17">
            <v>457128</v>
          </cell>
        </row>
        <row r="18">
          <cell r="AD18">
            <v>363557</v>
          </cell>
        </row>
        <row r="19">
          <cell r="AD19">
            <v>283482</v>
          </cell>
        </row>
        <row r="20">
          <cell r="AD20">
            <v>465870</v>
          </cell>
        </row>
        <row r="21">
          <cell r="AD21">
            <v>393161</v>
          </cell>
        </row>
        <row r="22">
          <cell r="AD22">
            <v>509308</v>
          </cell>
        </row>
        <row r="23">
          <cell r="AD23">
            <v>167378</v>
          </cell>
        </row>
        <row r="24">
          <cell r="AD24">
            <v>789623</v>
          </cell>
        </row>
        <row r="25">
          <cell r="AD25">
            <v>146813</v>
          </cell>
        </row>
        <row r="26">
          <cell r="AD26">
            <v>317712</v>
          </cell>
        </row>
        <row r="27">
          <cell r="AD27">
            <v>1040100</v>
          </cell>
        </row>
        <row r="28">
          <cell r="AD28">
            <v>127817</v>
          </cell>
        </row>
        <row r="29">
          <cell r="AD29">
            <v>1342072</v>
          </cell>
        </row>
        <row r="30">
          <cell r="AD30">
            <v>121511</v>
          </cell>
        </row>
        <row r="31">
          <cell r="AD31">
            <v>205636</v>
          </cell>
        </row>
        <row r="36">
          <cell r="AD36">
            <v>174250</v>
          </cell>
        </row>
        <row r="37">
          <cell r="AD37">
            <v>27096</v>
          </cell>
        </row>
        <row r="38">
          <cell r="AD38">
            <v>260</v>
          </cell>
        </row>
        <row r="39">
          <cell r="AD39">
            <v>87048</v>
          </cell>
        </row>
        <row r="40">
          <cell r="AD40">
            <v>45378</v>
          </cell>
        </row>
        <row r="41">
          <cell r="AD41">
            <v>1158113</v>
          </cell>
        </row>
        <row r="42">
          <cell r="AD42">
            <v>316512</v>
          </cell>
        </row>
        <row r="43">
          <cell r="AD43">
            <v>96440</v>
          </cell>
        </row>
        <row r="44">
          <cell r="AD44">
            <v>14887</v>
          </cell>
        </row>
        <row r="45">
          <cell r="AD45">
            <v>7308</v>
          </cell>
        </row>
        <row r="46">
          <cell r="AD46">
            <v>146767</v>
          </cell>
        </row>
        <row r="47">
          <cell r="AD47">
            <v>55797</v>
          </cell>
        </row>
        <row r="48">
          <cell r="AD48">
            <v>77933</v>
          </cell>
        </row>
        <row r="49">
          <cell r="AD49">
            <v>172130</v>
          </cell>
        </row>
        <row r="50">
          <cell r="AD50">
            <v>17130</v>
          </cell>
        </row>
        <row r="51">
          <cell r="AD51">
            <v>427491</v>
          </cell>
        </row>
        <row r="61">
          <cell r="AD61">
            <v>2030</v>
          </cell>
        </row>
        <row r="62">
          <cell r="AD62">
            <v>1028</v>
          </cell>
        </row>
        <row r="63">
          <cell r="AD63">
            <v>25414</v>
          </cell>
        </row>
        <row r="69">
          <cell r="AD69">
            <v>15010</v>
          </cell>
        </row>
        <row r="73">
          <cell r="AD73">
            <v>304000</v>
          </cell>
        </row>
        <row r="74">
          <cell r="AD74">
            <v>390000</v>
          </cell>
        </row>
        <row r="75">
          <cell r="AD75">
            <v>200100</v>
          </cell>
        </row>
        <row r="76">
          <cell r="AD76">
            <v>50000</v>
          </cell>
        </row>
        <row r="77">
          <cell r="AD77">
            <v>15000</v>
          </cell>
        </row>
        <row r="78">
          <cell r="AD78">
            <v>55000</v>
          </cell>
        </row>
        <row r="79">
          <cell r="AD79">
            <v>74000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X128"/>
  <sheetViews>
    <sheetView tabSelected="1" zoomScale="85" zoomScaleNormal="85" workbookViewId="0">
      <selection activeCell="E11" sqref="E11"/>
    </sheetView>
  </sheetViews>
  <sheetFormatPr defaultRowHeight="15" x14ac:dyDescent="0.25"/>
  <cols>
    <col min="1" max="1" width="62.140625" customWidth="1"/>
    <col min="2" max="2" width="14.7109375" customWidth="1"/>
    <col min="3" max="3" width="13.140625" customWidth="1"/>
    <col min="4" max="4" width="11.42578125" customWidth="1"/>
    <col min="5" max="5" width="11.85546875" customWidth="1"/>
    <col min="6" max="6" width="11.42578125" customWidth="1"/>
    <col min="7" max="7" width="12.85546875" customWidth="1"/>
    <col min="8" max="8" width="12.7109375" customWidth="1"/>
    <col min="9" max="9" width="12.140625" customWidth="1"/>
    <col min="10" max="10" width="11.42578125" customWidth="1"/>
    <col min="11" max="11" width="12.140625" customWidth="1"/>
    <col min="12" max="12" width="12.5703125" customWidth="1"/>
    <col min="13" max="14" width="12.85546875" customWidth="1"/>
    <col min="15" max="15" width="11" customWidth="1"/>
    <col min="16" max="19" width="13.85546875" customWidth="1"/>
    <col min="20" max="20" width="2.7109375" customWidth="1"/>
    <col min="21" max="21" width="15.28515625" bestFit="1" customWidth="1"/>
    <col min="22" max="22" width="2.7109375" customWidth="1"/>
    <col min="23" max="23" width="10" customWidth="1"/>
    <col min="24" max="24" width="10.85546875" customWidth="1"/>
    <col min="25" max="25" width="13.140625" customWidth="1"/>
    <col min="26" max="27" width="11.140625" customWidth="1"/>
    <col min="28" max="28" width="3.140625" customWidth="1"/>
    <col min="29" max="30" width="11.140625" customWidth="1"/>
    <col min="31" max="31" width="13.42578125" customWidth="1"/>
    <col min="32" max="33" width="11.140625" customWidth="1"/>
    <col min="34" max="34" width="3.140625" customWidth="1"/>
    <col min="35" max="35" width="13.42578125" customWidth="1"/>
    <col min="36" max="36" width="11.42578125" customWidth="1"/>
    <col min="37" max="37" width="13.85546875" customWidth="1"/>
    <col min="38" max="38" width="10" customWidth="1"/>
    <col min="39" max="39" width="10.140625" bestFit="1" customWidth="1"/>
    <col min="42" max="42" width="12" customWidth="1"/>
    <col min="43" max="43" width="11" customWidth="1"/>
    <col min="44" max="44" width="11.140625" bestFit="1" customWidth="1"/>
    <col min="45" max="45" width="11" customWidth="1"/>
    <col min="46" max="46" width="11.28515625" bestFit="1" customWidth="1"/>
    <col min="47" max="47" width="10.28515625" bestFit="1" customWidth="1"/>
    <col min="48" max="48" width="11.28515625" bestFit="1" customWidth="1"/>
    <col min="49" max="49" width="11" customWidth="1"/>
  </cols>
  <sheetData>
    <row r="1" spans="1:45" ht="36" customHeight="1" x14ac:dyDescent="0.35">
      <c r="A1" s="1" t="s">
        <v>0</v>
      </c>
      <c r="B1" s="2">
        <f>AA65*1000</f>
        <v>806317599.28637981</v>
      </c>
      <c r="C1">
        <v>1</v>
      </c>
      <c r="D1" s="3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5" t="s">
        <v>2</v>
      </c>
      <c r="AD1" s="5"/>
      <c r="AE1" s="5"/>
      <c r="AF1" s="6"/>
      <c r="AG1" s="6"/>
      <c r="AH1" s="4"/>
    </row>
    <row r="2" spans="1:45" ht="97.5" customHeight="1" x14ac:dyDescent="0.25">
      <c r="A2" s="7">
        <v>1.6</v>
      </c>
      <c r="B2" s="8">
        <f>B1/(A2*10^9)</f>
        <v>0.50394849955398735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2"/>
      <c r="U2" s="13" t="s">
        <v>20</v>
      </c>
      <c r="V2" s="13"/>
      <c r="W2" s="13" t="s">
        <v>21</v>
      </c>
      <c r="X2" s="13" t="s">
        <v>22</v>
      </c>
      <c r="Y2" s="13" t="s">
        <v>23</v>
      </c>
      <c r="Z2" s="13" t="s">
        <v>24</v>
      </c>
      <c r="AA2" s="13" t="s">
        <v>25</v>
      </c>
      <c r="AB2" s="13"/>
      <c r="AC2" s="13" t="s">
        <v>26</v>
      </c>
      <c r="AD2" s="13" t="s">
        <v>27</v>
      </c>
      <c r="AE2" s="13" t="s">
        <v>28</v>
      </c>
      <c r="AF2" s="13" t="s">
        <v>29</v>
      </c>
      <c r="AG2" s="13" t="s">
        <v>30</v>
      </c>
      <c r="AH2" s="13"/>
      <c r="AI2" s="13" t="s">
        <v>31</v>
      </c>
      <c r="AJ2" s="13" t="s">
        <v>32</v>
      </c>
      <c r="AK2" s="13" t="s">
        <v>33</v>
      </c>
      <c r="AL2" s="13" t="s">
        <v>34</v>
      </c>
      <c r="AM2" s="13" t="s">
        <v>35</v>
      </c>
      <c r="AN2" s="13" t="s">
        <v>36</v>
      </c>
      <c r="AO2" s="13" t="s">
        <v>37</v>
      </c>
      <c r="AP2" s="13" t="s">
        <v>38</v>
      </c>
      <c r="AQ2" s="13" t="s">
        <v>39</v>
      </c>
      <c r="AR2" s="13" t="s">
        <v>40</v>
      </c>
      <c r="AS2" s="13" t="s">
        <v>138</v>
      </c>
    </row>
    <row r="3" spans="1:45" x14ac:dyDescent="0.25">
      <c r="A3" s="1" t="s">
        <v>41</v>
      </c>
      <c r="B3" s="2">
        <f>B1-W65*1000</f>
        <v>689234599.28637981</v>
      </c>
      <c r="C3" s="14" t="s">
        <v>42</v>
      </c>
      <c r="D3" s="15" t="s">
        <v>43</v>
      </c>
      <c r="E3" s="15" t="s">
        <v>43</v>
      </c>
      <c r="F3" s="15" t="s">
        <v>43</v>
      </c>
      <c r="G3" s="15" t="s">
        <v>43</v>
      </c>
      <c r="H3" s="15" t="s">
        <v>43</v>
      </c>
      <c r="I3" s="15" t="s">
        <v>43</v>
      </c>
      <c r="J3" s="15" t="s">
        <v>43</v>
      </c>
      <c r="K3" s="15" t="s">
        <v>43</v>
      </c>
      <c r="L3" s="15" t="s">
        <v>43</v>
      </c>
      <c r="M3" s="15" t="s">
        <v>43</v>
      </c>
      <c r="N3" s="15" t="s">
        <v>43</v>
      </c>
      <c r="O3" s="16" t="s">
        <v>43</v>
      </c>
      <c r="P3" s="16" t="s">
        <v>43</v>
      </c>
      <c r="Q3" s="16"/>
      <c r="R3" s="16"/>
      <c r="S3" s="16" t="s">
        <v>43</v>
      </c>
      <c r="T3" s="17"/>
      <c r="U3" s="16" t="s">
        <v>43</v>
      </c>
      <c r="V3" s="16"/>
      <c r="W3" s="18" t="s">
        <v>42</v>
      </c>
      <c r="X3" s="18"/>
      <c r="Y3" s="18" t="s">
        <v>42</v>
      </c>
      <c r="Z3" s="18" t="s">
        <v>42</v>
      </c>
      <c r="AA3" s="18" t="s">
        <v>42</v>
      </c>
      <c r="AB3" s="18"/>
      <c r="AC3" s="14"/>
      <c r="AD3" s="14"/>
      <c r="AE3" s="14"/>
      <c r="AF3" s="14"/>
      <c r="AG3" s="14"/>
      <c r="AH3" s="18"/>
      <c r="AI3" s="16" t="s">
        <v>43</v>
      </c>
      <c r="AJ3" s="14" t="s">
        <v>43</v>
      </c>
      <c r="AK3" s="14" t="s">
        <v>43</v>
      </c>
      <c r="AL3" s="14" t="s">
        <v>43</v>
      </c>
      <c r="AM3" s="17"/>
      <c r="AN3" s="19"/>
      <c r="AO3" s="17"/>
      <c r="AP3" s="17"/>
      <c r="AQ3" s="15" t="s">
        <v>43</v>
      </c>
      <c r="AR3" s="15" t="s">
        <v>43</v>
      </c>
      <c r="AS3" s="17"/>
    </row>
    <row r="4" spans="1:45" x14ac:dyDescent="0.25">
      <c r="A4" s="1" t="s">
        <v>44</v>
      </c>
      <c r="B4" s="2">
        <v>806317599.28637981</v>
      </c>
      <c r="C4" s="20" t="s">
        <v>45</v>
      </c>
      <c r="D4" s="21">
        <f>CostOfSettlements1617</f>
        <v>2.4156418276994194E-2</v>
      </c>
      <c r="E4" s="21">
        <f>DHBProviderProportion16*19.3%</f>
        <v>0.10769400000000001</v>
      </c>
      <c r="F4" s="21">
        <f>CostOfSettlements1617</f>
        <v>2.4156418276994194E-2</v>
      </c>
      <c r="G4" s="21">
        <f>DHBProviderProportion16*24%</f>
        <v>0.13392000000000001</v>
      </c>
      <c r="H4" s="21">
        <f>CostOfSettlements1617</f>
        <v>2.4156418276994194E-2</v>
      </c>
      <c r="I4" s="21">
        <f>DHBProviderProportion16*19.1%</f>
        <v>0.10657800000000001</v>
      </c>
      <c r="J4" s="21">
        <f>'[1]Notes 2016-17 pre-Budget'!C68</f>
        <v>2.5493909110655667E-2</v>
      </c>
      <c r="K4" s="21">
        <f>(1-DHBProviderProportion16)*LabourProportion16</f>
        <v>0.27632308223065183</v>
      </c>
      <c r="L4" s="21">
        <f>_CPI16</f>
        <v>1.6E-2</v>
      </c>
      <c r="M4" s="22">
        <f>1-LabourProportion16</f>
        <v>0.37483465558676043</v>
      </c>
      <c r="N4" s="22">
        <f>_CPI16</f>
        <v>1.6E-2</v>
      </c>
      <c r="O4" s="22">
        <v>2.5745145925983402E-2</v>
      </c>
      <c r="P4" s="21">
        <f>IF(NDGandProdSwitch16=0,1,0)*1.5%</f>
        <v>0</v>
      </c>
      <c r="Q4" s="21">
        <f>IF(NDGandProdSwitch16=0,1,0)*0.3%</f>
        <v>0</v>
      </c>
      <c r="R4" s="21">
        <v>1</v>
      </c>
      <c r="S4" s="21">
        <v>3.1E-2</v>
      </c>
      <c r="T4" s="23"/>
      <c r="U4" s="23"/>
      <c r="V4" s="24"/>
      <c r="W4" s="24"/>
      <c r="X4" s="24"/>
      <c r="Y4" s="25"/>
      <c r="Z4" s="24"/>
      <c r="AA4" s="24"/>
      <c r="AB4" s="24"/>
      <c r="AC4" s="24"/>
      <c r="AD4" s="24"/>
      <c r="AE4" s="24"/>
      <c r="AF4" s="24"/>
      <c r="AG4" s="24"/>
      <c r="AH4" s="24"/>
      <c r="AI4" s="26">
        <v>0.62516534441323957</v>
      </c>
      <c r="AJ4" s="27">
        <v>1.6E-2</v>
      </c>
      <c r="AK4" s="27">
        <v>0.06</v>
      </c>
      <c r="AL4" s="27">
        <v>5.0000000000000001E-3</v>
      </c>
      <c r="AM4" s="27">
        <f>(MedicalSalaryIncreases16*MedicalProportion16+NursingSalaryIncrease16*NursingProportion16+OtherDHBWageIncreases16*OtherWageProportion16)/(MedicalProportion16+NursingProportion16+OtherWageProportion16)</f>
        <v>2.4156418276994194E-2</v>
      </c>
      <c r="AN4" s="27">
        <f>(MedicalSalaryIncreases16*MedicalProportion16+NursingSalaryIncrease16*NursingProportion16+OtherDHBWageIncreases16*OtherWageProportion16+DHBFundedWageIncreases16*DHBFundedProportion16)/LabourProportion16</f>
        <v>2.4722463064189515E-2</v>
      </c>
      <c r="AO4" s="27">
        <v>1.7999999999999999E-2</v>
      </c>
      <c r="AP4" s="27">
        <v>0.55800000000000005</v>
      </c>
      <c r="AQ4" s="22">
        <v>0.03</v>
      </c>
      <c r="AR4" s="22">
        <f>_LCI16</f>
        <v>1.7999999999999999E-2</v>
      </c>
      <c r="AS4" s="21">
        <v>2.4156418276994194E-2</v>
      </c>
    </row>
    <row r="5" spans="1:45" x14ac:dyDescent="0.25">
      <c r="B5" s="28">
        <f>B4-B1</f>
        <v>0</v>
      </c>
      <c r="C5" s="29"/>
      <c r="D5" s="30"/>
      <c r="E5" s="31"/>
      <c r="F5" s="31"/>
      <c r="G5" s="31"/>
      <c r="H5" s="32"/>
      <c r="I5" s="32"/>
      <c r="J5" s="32"/>
      <c r="K5" s="32"/>
      <c r="L5" s="32"/>
      <c r="M5" s="32"/>
      <c r="N5" s="32"/>
      <c r="O5" s="21"/>
      <c r="P5" s="21"/>
      <c r="Q5" s="21"/>
      <c r="R5" s="21"/>
      <c r="S5" s="21"/>
      <c r="T5" s="33"/>
      <c r="U5" s="33"/>
      <c r="AC5" s="24"/>
      <c r="AD5" s="24"/>
      <c r="AE5" s="24"/>
      <c r="AF5" s="24"/>
      <c r="AG5" s="24"/>
      <c r="AI5" s="12"/>
      <c r="AJ5" s="34"/>
      <c r="AK5" s="12"/>
      <c r="AL5" s="12"/>
      <c r="AM5" s="12"/>
      <c r="AN5" s="12"/>
      <c r="AO5" s="12"/>
      <c r="AP5" s="12"/>
    </row>
    <row r="6" spans="1:45" x14ac:dyDescent="0.25">
      <c r="C6" s="29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21"/>
      <c r="P6" s="21"/>
      <c r="Q6" s="21"/>
      <c r="R6" s="21"/>
      <c r="S6" s="21"/>
      <c r="T6" s="33"/>
      <c r="U6" s="33"/>
      <c r="AC6" s="24"/>
      <c r="AD6" s="24"/>
      <c r="AE6" s="24"/>
      <c r="AF6" s="24"/>
      <c r="AG6" s="24"/>
      <c r="AI6" s="35" t="s">
        <v>46</v>
      </c>
      <c r="AJ6" s="35"/>
      <c r="AK6" s="35"/>
      <c r="AL6" s="12"/>
      <c r="AM6" s="12"/>
      <c r="AN6" s="12"/>
      <c r="AO6" s="12"/>
      <c r="AP6" s="12"/>
    </row>
    <row r="7" spans="1:45" ht="45" x14ac:dyDescent="0.25">
      <c r="C7" s="29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21"/>
      <c r="P7" s="21"/>
      <c r="Q7" s="21"/>
      <c r="R7" s="21"/>
      <c r="S7" s="21"/>
      <c r="T7" s="33"/>
      <c r="U7" s="33"/>
      <c r="AC7" s="24"/>
      <c r="AD7" s="24"/>
      <c r="AE7" s="24"/>
      <c r="AF7" s="24"/>
      <c r="AG7" s="24"/>
      <c r="AI7" s="36" t="s">
        <v>47</v>
      </c>
      <c r="AJ7" s="36" t="s">
        <v>48</v>
      </c>
      <c r="AK7" s="36" t="s">
        <v>49</v>
      </c>
      <c r="AL7" s="36" t="s">
        <v>50</v>
      </c>
      <c r="AM7" s="12"/>
      <c r="AN7" s="12"/>
      <c r="AO7" s="12"/>
      <c r="AP7" s="12"/>
    </row>
    <row r="8" spans="1:45" x14ac:dyDescent="0.25">
      <c r="A8" s="9" t="s">
        <v>51</v>
      </c>
      <c r="B8" s="9"/>
      <c r="C8" s="37">
        <f>'[1]Health Vote 2015-16'!AD8</f>
        <v>192432</v>
      </c>
      <c r="D8" s="33"/>
      <c r="E8" s="33"/>
      <c r="F8" s="33"/>
      <c r="G8" s="33"/>
      <c r="H8" s="33"/>
      <c r="I8" s="33"/>
      <c r="J8" s="33">
        <f>_LCI16</f>
        <v>1.7999999999999999E-2</v>
      </c>
      <c r="K8" s="33">
        <f>LabourProportion16</f>
        <v>0.62516534441323957</v>
      </c>
      <c r="L8" s="33"/>
      <c r="M8" s="33">
        <f>NonLabourProportion16</f>
        <v>0.37483465558676043</v>
      </c>
      <c r="N8" s="33">
        <f>NonLabourGeneralCostIncreases16</f>
        <v>1.6E-2</v>
      </c>
      <c r="O8" s="33"/>
      <c r="P8" s="33"/>
      <c r="Q8" s="33">
        <f>ProductivityGrowth16</f>
        <v>0</v>
      </c>
      <c r="R8" s="33"/>
      <c r="S8" s="33"/>
      <c r="T8" s="33"/>
      <c r="U8" s="38">
        <f>((1+D8)*E8+(1+F8)*G8+(1+H8)*I8+(1+J8)*K8+(1+L8+N8)*M8)*(1+O8)*(1+P8)*(1-Q8)+R8*(1+S8)-1</f>
        <v>1.7250330688826532E-2</v>
      </c>
      <c r="V8" s="39"/>
      <c r="W8" s="40">
        <f>K89</f>
        <v>5445</v>
      </c>
      <c r="X8" s="41">
        <f>G89</f>
        <v>0</v>
      </c>
      <c r="Y8" s="42">
        <f>C8*(1+U8)+W8+X8</f>
        <v>201196.51563511227</v>
      </c>
      <c r="Z8" s="37">
        <f>Y8</f>
        <v>201196.51563511227</v>
      </c>
      <c r="AA8" s="43">
        <f>Z8-C8</f>
        <v>8764.5156351122714</v>
      </c>
      <c r="AB8" s="37"/>
      <c r="AC8" s="44">
        <v>192453</v>
      </c>
      <c r="AD8" s="44">
        <v>192453</v>
      </c>
      <c r="AE8" s="44">
        <v>195677</v>
      </c>
      <c r="AF8" s="44">
        <f>AE8-C8</f>
        <v>3245</v>
      </c>
      <c r="AG8" s="44">
        <f>AE8-AC8</f>
        <v>3224</v>
      </c>
      <c r="AH8" s="37"/>
      <c r="AI8" s="45">
        <f>Y8-W8-AE8-X8</f>
        <v>74.515635112271411</v>
      </c>
      <c r="AJ8" s="46">
        <f>AI8+E89</f>
        <v>5519.5156351122714</v>
      </c>
      <c r="AK8" s="46">
        <f>AJ8+G89</f>
        <v>5519.5156351122714</v>
      </c>
      <c r="AL8" s="47">
        <f>AK8+I89</f>
        <v>5519.5156351122714</v>
      </c>
      <c r="AM8" s="12"/>
      <c r="AN8" s="12"/>
      <c r="AO8" s="12"/>
      <c r="AP8" s="12"/>
    </row>
    <row r="9" spans="1:45" x14ac:dyDescent="0.25"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48"/>
      <c r="V9" s="49" t="s">
        <v>52</v>
      </c>
      <c r="W9" s="12"/>
      <c r="X9" s="12"/>
      <c r="Y9" s="50">
        <f>Y8-W8-X8</f>
        <v>195751.51563511227</v>
      </c>
      <c r="Z9" s="51" t="s">
        <v>53</v>
      </c>
      <c r="AA9" s="52">
        <f>AA8/C8</f>
        <v>4.5546040342106672E-2</v>
      </c>
      <c r="AB9" s="12"/>
      <c r="AC9" s="53">
        <f>$C8-AC8</f>
        <v>-21</v>
      </c>
      <c r="AD9" s="53">
        <f>$C8-AD8</f>
        <v>-21</v>
      </c>
      <c r="AE9" s="54" t="s">
        <v>54</v>
      </c>
      <c r="AF9" s="53">
        <f>AA8-AF8</f>
        <v>5519.5156351122714</v>
      </c>
      <c r="AG9" s="53">
        <f>$AA8-AG8</f>
        <v>5540.5156351122714</v>
      </c>
      <c r="AH9" s="55"/>
      <c r="AI9" s="34"/>
      <c r="AJ9" s="34"/>
      <c r="AL9" s="34"/>
    </row>
    <row r="10" spans="1:45" x14ac:dyDescent="0.25">
      <c r="A10" s="9" t="s">
        <v>55</v>
      </c>
      <c r="B10" s="9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AC10" s="34"/>
      <c r="AD10" s="34"/>
      <c r="AE10" s="34"/>
      <c r="AF10" s="34"/>
      <c r="AG10" s="34"/>
      <c r="AI10" s="56"/>
      <c r="AJ10" s="34"/>
      <c r="AL10" s="34"/>
    </row>
    <row r="11" spans="1:45" x14ac:dyDescent="0.25">
      <c r="A11" s="57" t="s">
        <v>56</v>
      </c>
      <c r="B11" s="57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AC11" s="44"/>
      <c r="AD11" s="44"/>
      <c r="AE11" s="44"/>
      <c r="AF11" s="34"/>
      <c r="AG11" s="34"/>
      <c r="AI11" s="58"/>
      <c r="AJ11" s="34"/>
      <c r="AL11" s="34"/>
    </row>
    <row r="12" spans="1:45" x14ac:dyDescent="0.25">
      <c r="A12" s="59" t="s">
        <v>57</v>
      </c>
      <c r="B12" s="59"/>
      <c r="C12" s="42">
        <f>'[1]Health Vote 2015-16'!AD12</f>
        <v>1115555</v>
      </c>
      <c r="D12" s="55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42"/>
      <c r="Q12" s="33"/>
      <c r="R12" s="33"/>
      <c r="S12" s="33"/>
      <c r="T12" s="33"/>
      <c r="U12" s="33"/>
      <c r="V12" s="39"/>
      <c r="W12" s="39"/>
      <c r="X12" s="39"/>
      <c r="Y12" s="42"/>
      <c r="Z12" s="42"/>
      <c r="AA12" s="39"/>
      <c r="AB12" s="39"/>
      <c r="AC12" s="60">
        <v>1118297</v>
      </c>
      <c r="AD12" s="60">
        <v>1118297</v>
      </c>
      <c r="AE12" s="60">
        <v>1168145</v>
      </c>
      <c r="AF12" s="44">
        <f t="shared" ref="AF12:AF32" si="0">AE12-C12</f>
        <v>52590</v>
      </c>
      <c r="AG12" s="44">
        <f>AE12-AC12</f>
        <v>49848</v>
      </c>
      <c r="AH12" s="39"/>
      <c r="AI12" s="58"/>
      <c r="AJ12" s="34"/>
      <c r="AL12" s="34"/>
    </row>
    <row r="13" spans="1:45" x14ac:dyDescent="0.25">
      <c r="A13" s="59" t="s">
        <v>58</v>
      </c>
      <c r="B13" s="59"/>
      <c r="C13" s="42">
        <f>'[1]Health Vote 2015-16'!AD13</f>
        <v>633648</v>
      </c>
      <c r="D13" s="55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9"/>
      <c r="W13" s="39"/>
      <c r="X13" s="39"/>
      <c r="Y13" s="42"/>
      <c r="Z13" s="39"/>
      <c r="AA13" s="39"/>
      <c r="AB13" s="39"/>
      <c r="AC13" s="60">
        <v>638061</v>
      </c>
      <c r="AD13" s="60">
        <v>638061</v>
      </c>
      <c r="AE13" s="60">
        <v>670326</v>
      </c>
      <c r="AF13" s="44">
        <f t="shared" si="0"/>
        <v>36678</v>
      </c>
      <c r="AG13" s="44">
        <f t="shared" ref="AG13:AG32" si="1">AE13-AC13</f>
        <v>32265</v>
      </c>
      <c r="AH13" s="39"/>
      <c r="AI13" s="58"/>
      <c r="AJ13" s="34"/>
      <c r="AL13" s="34"/>
    </row>
    <row r="14" spans="1:45" x14ac:dyDescent="0.25">
      <c r="A14" s="59" t="s">
        <v>59</v>
      </c>
      <c r="B14" s="59"/>
      <c r="C14" s="42">
        <f>'[1]Health Vote 2015-16'!AD14</f>
        <v>1281426</v>
      </c>
      <c r="D14" s="55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9"/>
      <c r="W14" s="39"/>
      <c r="X14" s="39"/>
      <c r="Y14" s="42"/>
      <c r="Z14" s="39"/>
      <c r="AA14" s="39"/>
      <c r="AB14" s="39"/>
      <c r="AC14" s="60">
        <v>1317045</v>
      </c>
      <c r="AD14" s="60">
        <v>1317045</v>
      </c>
      <c r="AE14" s="60">
        <v>1326373</v>
      </c>
      <c r="AF14" s="44">
        <f t="shared" si="0"/>
        <v>44947</v>
      </c>
      <c r="AG14" s="44">
        <f t="shared" si="1"/>
        <v>9328</v>
      </c>
      <c r="AH14" s="39"/>
      <c r="AI14" s="58"/>
      <c r="AJ14" s="34"/>
      <c r="AL14" s="34"/>
    </row>
    <row r="15" spans="1:45" x14ac:dyDescent="0.25">
      <c r="A15" s="59" t="s">
        <v>60</v>
      </c>
      <c r="B15" s="59"/>
      <c r="C15" s="42">
        <f>'[1]Health Vote 2015-16'!AD15</f>
        <v>689554</v>
      </c>
      <c r="D15" s="55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9"/>
      <c r="W15" s="39"/>
      <c r="X15" s="39"/>
      <c r="Y15" s="42"/>
      <c r="Z15" s="39"/>
      <c r="AA15" s="39"/>
      <c r="AB15" s="39"/>
      <c r="AC15" s="60">
        <v>690915</v>
      </c>
      <c r="AD15" s="60">
        <v>690915</v>
      </c>
      <c r="AE15" s="60">
        <v>708924</v>
      </c>
      <c r="AF15" s="44">
        <f t="shared" si="0"/>
        <v>19370</v>
      </c>
      <c r="AG15" s="44">
        <f t="shared" si="1"/>
        <v>18009</v>
      </c>
      <c r="AH15" s="39"/>
      <c r="AI15" s="58"/>
      <c r="AJ15" s="34"/>
      <c r="AL15" s="34"/>
    </row>
    <row r="16" spans="1:45" x14ac:dyDescent="0.25">
      <c r="A16" s="59" t="s">
        <v>61</v>
      </c>
      <c r="B16" s="59"/>
      <c r="C16" s="42">
        <f>'[1]Health Vote 2015-16'!AD16</f>
        <v>1268476</v>
      </c>
      <c r="D16" s="55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9"/>
      <c r="W16" s="39"/>
      <c r="X16" s="39"/>
      <c r="Y16" s="42"/>
      <c r="Z16" s="39"/>
      <c r="AA16" s="39"/>
      <c r="AB16" s="39"/>
      <c r="AC16" s="60">
        <v>1274349</v>
      </c>
      <c r="AD16" s="60">
        <v>1274349</v>
      </c>
      <c r="AE16" s="60">
        <v>1329104</v>
      </c>
      <c r="AF16" s="44">
        <f t="shared" si="0"/>
        <v>60628</v>
      </c>
      <c r="AG16" s="44">
        <f t="shared" si="1"/>
        <v>54755</v>
      </c>
      <c r="AH16" s="39"/>
      <c r="AI16" s="58"/>
      <c r="AJ16" s="34" t="s">
        <v>62</v>
      </c>
      <c r="AL16" s="34"/>
    </row>
    <row r="17" spans="1:50" x14ac:dyDescent="0.25">
      <c r="A17" s="59" t="s">
        <v>63</v>
      </c>
      <c r="B17" s="59"/>
      <c r="C17" s="42">
        <f>'[1]Health Vote 2015-16'!AD17</f>
        <v>457128</v>
      </c>
      <c r="D17" s="55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9"/>
      <c r="W17" s="39"/>
      <c r="X17" s="39"/>
      <c r="Y17" s="42"/>
      <c r="Z17" s="39"/>
      <c r="AA17" s="39"/>
      <c r="AB17" s="39"/>
      <c r="AC17" s="60">
        <v>461348</v>
      </c>
      <c r="AD17" s="60">
        <v>461348</v>
      </c>
      <c r="AE17" s="60">
        <v>469504</v>
      </c>
      <c r="AF17" s="44">
        <f t="shared" si="0"/>
        <v>12376</v>
      </c>
      <c r="AG17" s="44">
        <f t="shared" si="1"/>
        <v>8156</v>
      </c>
      <c r="AH17" s="39"/>
      <c r="AI17" s="58"/>
      <c r="AJ17" s="34"/>
      <c r="AL17" s="34"/>
    </row>
    <row r="18" spans="1:50" x14ac:dyDescent="0.25">
      <c r="A18" s="59" t="s">
        <v>64</v>
      </c>
      <c r="B18" s="59"/>
      <c r="C18" s="42">
        <f>'[1]Health Vote 2015-16'!AD18</f>
        <v>363557</v>
      </c>
      <c r="D18" s="55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9"/>
      <c r="W18" s="39"/>
      <c r="X18" s="39"/>
      <c r="Y18" s="42"/>
      <c r="Z18" s="39"/>
      <c r="AA18" s="39"/>
      <c r="AB18" s="39"/>
      <c r="AC18" s="60">
        <v>365331</v>
      </c>
      <c r="AD18" s="60">
        <v>365331</v>
      </c>
      <c r="AE18" s="60">
        <v>375024</v>
      </c>
      <c r="AF18" s="44">
        <f t="shared" si="0"/>
        <v>11467</v>
      </c>
      <c r="AG18" s="44">
        <f t="shared" si="1"/>
        <v>9693</v>
      </c>
      <c r="AH18" s="39"/>
      <c r="AI18" s="58"/>
      <c r="AJ18" s="34"/>
      <c r="AL18" s="34"/>
    </row>
    <row r="19" spans="1:50" x14ac:dyDescent="0.25">
      <c r="A19" s="59" t="s">
        <v>65</v>
      </c>
      <c r="B19" s="59"/>
      <c r="C19" s="42">
        <f>'[1]Health Vote 2015-16'!AD19</f>
        <v>283482</v>
      </c>
      <c r="D19" s="55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9"/>
      <c r="W19" s="39"/>
      <c r="X19" s="39"/>
      <c r="Y19" s="42"/>
      <c r="Z19" s="39"/>
      <c r="AA19" s="39"/>
      <c r="AB19" s="39"/>
      <c r="AC19" s="60">
        <v>284778</v>
      </c>
      <c r="AD19" s="60">
        <v>284778</v>
      </c>
      <c r="AE19" s="60">
        <v>300118</v>
      </c>
      <c r="AF19" s="44">
        <f t="shared" si="0"/>
        <v>16636</v>
      </c>
      <c r="AG19" s="44">
        <f t="shared" si="1"/>
        <v>15340</v>
      </c>
      <c r="AH19" s="39"/>
      <c r="AI19" s="58"/>
      <c r="AJ19" s="34"/>
      <c r="AL19" s="34"/>
    </row>
    <row r="20" spans="1:50" x14ac:dyDescent="0.25">
      <c r="A20" s="59" t="s">
        <v>66</v>
      </c>
      <c r="B20" s="59"/>
      <c r="C20" s="42">
        <f>'[1]Health Vote 2015-16'!AD20</f>
        <v>465870</v>
      </c>
      <c r="D20" s="55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9"/>
      <c r="W20" s="39"/>
      <c r="X20" s="39"/>
      <c r="Y20" s="42"/>
      <c r="Z20" s="39"/>
      <c r="AA20" s="39"/>
      <c r="AB20" s="39"/>
      <c r="AC20" s="60">
        <v>467257</v>
      </c>
      <c r="AD20" s="60">
        <v>467257</v>
      </c>
      <c r="AE20" s="60">
        <v>484891</v>
      </c>
      <c r="AF20" s="44">
        <f t="shared" si="0"/>
        <v>19021</v>
      </c>
      <c r="AG20" s="44">
        <f t="shared" si="1"/>
        <v>17634</v>
      </c>
      <c r="AH20" s="39"/>
      <c r="AI20" s="56"/>
      <c r="AJ20" s="34"/>
      <c r="AL20" s="34"/>
    </row>
    <row r="21" spans="1:50" x14ac:dyDescent="0.25">
      <c r="A21" s="59" t="s">
        <v>67</v>
      </c>
      <c r="B21" s="59"/>
      <c r="C21" s="42">
        <f>'[1]Health Vote 2015-16'!AD21</f>
        <v>393161</v>
      </c>
      <c r="D21" s="55"/>
      <c r="E21" s="33"/>
      <c r="F21" s="33"/>
      <c r="G21" s="33"/>
      <c r="H21" s="33"/>
      <c r="I21" s="33"/>
      <c r="J21" s="33"/>
      <c r="K21" s="33"/>
      <c r="L21" s="33"/>
      <c r="M21" s="33"/>
      <c r="N21" s="33"/>
      <c r="P21" s="33"/>
      <c r="Q21" s="33"/>
      <c r="R21" s="33"/>
      <c r="S21" s="33"/>
      <c r="T21" s="33"/>
      <c r="U21" s="33"/>
      <c r="V21" s="39"/>
      <c r="W21" s="39"/>
      <c r="X21" s="39"/>
      <c r="Y21" s="42"/>
      <c r="Z21" s="39"/>
      <c r="AA21" s="39"/>
      <c r="AB21" s="39"/>
      <c r="AC21" s="60">
        <v>394740</v>
      </c>
      <c r="AD21" s="60">
        <v>394740</v>
      </c>
      <c r="AE21" s="60">
        <v>405579</v>
      </c>
      <c r="AF21" s="44">
        <f t="shared" si="0"/>
        <v>12418</v>
      </c>
      <c r="AG21" s="44">
        <f t="shared" si="1"/>
        <v>10839</v>
      </c>
      <c r="AH21" s="39"/>
      <c r="AI21" s="34"/>
      <c r="AJ21" s="34"/>
      <c r="AL21" s="34"/>
    </row>
    <row r="22" spans="1:50" x14ac:dyDescent="0.25">
      <c r="A22" s="59" t="s">
        <v>68</v>
      </c>
      <c r="B22" s="59"/>
      <c r="C22" s="42">
        <f>'[1]Health Vote 2015-16'!AD22</f>
        <v>509308</v>
      </c>
      <c r="D22" s="55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9"/>
      <c r="W22" s="39"/>
      <c r="X22" s="39"/>
      <c r="Y22" s="42"/>
      <c r="Z22" s="39"/>
      <c r="AA22" s="39"/>
      <c r="AB22" s="39"/>
      <c r="AC22" s="60">
        <v>511786</v>
      </c>
      <c r="AD22" s="60">
        <v>511786</v>
      </c>
      <c r="AE22" s="60">
        <v>539583</v>
      </c>
      <c r="AF22" s="44">
        <f t="shared" si="0"/>
        <v>30275</v>
      </c>
      <c r="AG22" s="44">
        <f t="shared" si="1"/>
        <v>27797</v>
      </c>
      <c r="AH22" s="39"/>
      <c r="AI22" s="34"/>
      <c r="AJ22" s="34"/>
      <c r="AL22" s="34"/>
    </row>
    <row r="23" spans="1:50" x14ac:dyDescent="0.25">
      <c r="A23" s="59" t="s">
        <v>69</v>
      </c>
      <c r="B23" s="59"/>
      <c r="C23" s="42">
        <f>'[1]Health Vote 2015-16'!AD23</f>
        <v>167378</v>
      </c>
      <c r="D23" s="55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9"/>
      <c r="W23" s="39"/>
      <c r="X23" s="39"/>
      <c r="Y23" s="42"/>
      <c r="Z23" s="39"/>
      <c r="AA23" s="39"/>
      <c r="AB23" s="39"/>
      <c r="AC23" s="60">
        <v>167795</v>
      </c>
      <c r="AD23" s="60">
        <v>167795</v>
      </c>
      <c r="AE23" s="60">
        <v>172374</v>
      </c>
      <c r="AF23" s="44">
        <f t="shared" si="0"/>
        <v>4996</v>
      </c>
      <c r="AG23" s="44">
        <f t="shared" si="1"/>
        <v>4579</v>
      </c>
      <c r="AH23" s="39"/>
      <c r="AI23" s="34"/>
      <c r="AJ23" s="56"/>
      <c r="AL23" s="34"/>
    </row>
    <row r="24" spans="1:50" x14ac:dyDescent="0.25">
      <c r="A24" s="59" t="s">
        <v>70</v>
      </c>
      <c r="B24" s="59"/>
      <c r="C24" s="42">
        <f>'[1]Health Vote 2015-16'!AD24</f>
        <v>789623</v>
      </c>
      <c r="D24" s="55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9"/>
      <c r="W24" s="39"/>
      <c r="X24" s="39"/>
      <c r="Y24" s="42"/>
      <c r="Z24" s="39"/>
      <c r="AA24" s="39"/>
      <c r="AB24" s="39"/>
      <c r="AC24" s="60">
        <v>791730</v>
      </c>
      <c r="AD24" s="60">
        <v>791730</v>
      </c>
      <c r="AE24" s="60">
        <v>822938</v>
      </c>
      <c r="AF24" s="44">
        <f t="shared" si="0"/>
        <v>33315</v>
      </c>
      <c r="AG24" s="44">
        <f t="shared" si="1"/>
        <v>31208</v>
      </c>
      <c r="AH24" s="39"/>
      <c r="AI24" s="34"/>
      <c r="AJ24" s="56"/>
      <c r="AL24" s="34"/>
    </row>
    <row r="25" spans="1:50" x14ac:dyDescent="0.25">
      <c r="A25" s="59" t="s">
        <v>71</v>
      </c>
      <c r="B25" s="59"/>
      <c r="C25" s="42">
        <f>'[1]Health Vote 2015-16'!AD25</f>
        <v>146813</v>
      </c>
      <c r="D25" s="55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9"/>
      <c r="W25" s="39"/>
      <c r="X25" s="39"/>
      <c r="Y25" s="42"/>
      <c r="Z25" s="39"/>
      <c r="AA25" s="39"/>
      <c r="AB25" s="39"/>
      <c r="AC25" s="60">
        <v>147136</v>
      </c>
      <c r="AD25" s="60">
        <v>147136</v>
      </c>
      <c r="AE25" s="60">
        <v>154899</v>
      </c>
      <c r="AF25" s="44">
        <f t="shared" si="0"/>
        <v>8086</v>
      </c>
      <c r="AG25" s="44">
        <f t="shared" si="1"/>
        <v>7763</v>
      </c>
      <c r="AH25" s="39"/>
      <c r="AI25" s="34"/>
      <c r="AJ25" s="34"/>
      <c r="AL25" s="34"/>
    </row>
    <row r="26" spans="1:50" x14ac:dyDescent="0.25">
      <c r="A26" s="59" t="s">
        <v>72</v>
      </c>
      <c r="B26" s="59"/>
      <c r="C26" s="42">
        <f>'[1]Health Vote 2015-16'!AD26</f>
        <v>317712</v>
      </c>
      <c r="D26" s="55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9"/>
      <c r="W26" s="39"/>
      <c r="X26" s="39"/>
      <c r="Y26" s="42"/>
      <c r="Z26" s="39"/>
      <c r="AA26" s="39"/>
      <c r="AB26" s="39"/>
      <c r="AC26" s="60">
        <v>318644</v>
      </c>
      <c r="AD26" s="60">
        <v>318644</v>
      </c>
      <c r="AE26" s="60">
        <v>327231</v>
      </c>
      <c r="AF26" s="44">
        <f t="shared" si="0"/>
        <v>9519</v>
      </c>
      <c r="AG26" s="44">
        <f t="shared" si="1"/>
        <v>8587</v>
      </c>
      <c r="AH26" s="39"/>
      <c r="AI26" s="34"/>
      <c r="AJ26" s="34"/>
      <c r="AL26" s="34"/>
      <c r="AQ26" s="12"/>
      <c r="AR26" s="12"/>
      <c r="AS26" s="12"/>
      <c r="AT26" s="12"/>
      <c r="AU26" s="12"/>
      <c r="AV26" s="12"/>
      <c r="AW26" s="12"/>
      <c r="AX26" s="12"/>
    </row>
    <row r="27" spans="1:50" x14ac:dyDescent="0.25">
      <c r="A27" s="59" t="s">
        <v>73</v>
      </c>
      <c r="B27" s="59"/>
      <c r="C27" s="42">
        <f>'[1]Health Vote 2015-16'!AD27</f>
        <v>1040100</v>
      </c>
      <c r="D27" s="55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9"/>
      <c r="W27" s="61"/>
      <c r="X27" s="61"/>
      <c r="Y27" s="62"/>
      <c r="Z27" s="61"/>
      <c r="AA27" s="61"/>
      <c r="AB27" s="61"/>
      <c r="AC27" s="60">
        <v>1042741</v>
      </c>
      <c r="AD27" s="60">
        <v>1042741</v>
      </c>
      <c r="AE27" s="60">
        <v>1096798</v>
      </c>
      <c r="AF27" s="44">
        <f t="shared" si="0"/>
        <v>56698</v>
      </c>
      <c r="AG27" s="44">
        <f t="shared" si="1"/>
        <v>54057</v>
      </c>
      <c r="AH27" s="61"/>
      <c r="AI27" s="34"/>
      <c r="AJ27" s="34"/>
      <c r="AL27" s="34"/>
      <c r="AQ27" s="12"/>
      <c r="AR27" s="12"/>
      <c r="AS27" s="12"/>
      <c r="AT27" s="12"/>
      <c r="AU27" s="12"/>
      <c r="AV27" s="12"/>
      <c r="AW27" s="12"/>
      <c r="AX27" s="12"/>
    </row>
    <row r="28" spans="1:50" x14ac:dyDescent="0.25">
      <c r="A28" s="59" t="s">
        <v>74</v>
      </c>
      <c r="B28" s="59"/>
      <c r="C28" s="42">
        <f>'[1]Health Vote 2015-16'!AD28</f>
        <v>127817</v>
      </c>
      <c r="D28" s="55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9"/>
      <c r="W28" s="61"/>
      <c r="X28" s="61"/>
      <c r="Y28" s="62"/>
      <c r="Z28" s="61"/>
      <c r="AA28" s="61"/>
      <c r="AB28" s="61"/>
      <c r="AC28" s="60">
        <v>128179</v>
      </c>
      <c r="AD28" s="60">
        <v>128179</v>
      </c>
      <c r="AE28" s="60">
        <v>131668</v>
      </c>
      <c r="AF28" s="44">
        <f t="shared" si="0"/>
        <v>3851</v>
      </c>
      <c r="AG28" s="44">
        <f t="shared" si="1"/>
        <v>3489</v>
      </c>
      <c r="AH28" s="61"/>
      <c r="AI28" s="34"/>
      <c r="AJ28" s="34"/>
      <c r="AL28" s="34"/>
      <c r="AQ28" s="12"/>
      <c r="AR28" s="12"/>
      <c r="AS28" s="12"/>
      <c r="AT28" s="12"/>
      <c r="AU28" s="12"/>
      <c r="AV28" s="12"/>
      <c r="AW28" s="12"/>
      <c r="AX28" s="12"/>
    </row>
    <row r="29" spans="1:50" x14ac:dyDescent="0.25">
      <c r="A29" s="59" t="s">
        <v>75</v>
      </c>
      <c r="B29" s="59"/>
      <c r="C29" s="42">
        <f>'[1]Health Vote 2015-16'!AD29</f>
        <v>1342072</v>
      </c>
      <c r="D29" s="55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9"/>
      <c r="W29" s="61"/>
      <c r="X29" s="61"/>
      <c r="Y29" s="50"/>
      <c r="Z29" s="61"/>
      <c r="AA29" s="61"/>
      <c r="AB29" s="61"/>
      <c r="AC29" s="60">
        <v>1349321</v>
      </c>
      <c r="AD29" s="60">
        <v>1349321</v>
      </c>
      <c r="AE29" s="60">
        <v>1399525</v>
      </c>
      <c r="AF29" s="44">
        <f t="shared" si="0"/>
        <v>57453</v>
      </c>
      <c r="AG29" s="44">
        <f t="shared" si="1"/>
        <v>50204</v>
      </c>
      <c r="AH29" s="61"/>
      <c r="AI29" s="34"/>
      <c r="AJ29" s="34"/>
      <c r="AL29" s="34"/>
      <c r="AQ29" s="12"/>
      <c r="AR29" s="12"/>
      <c r="AS29" s="12"/>
      <c r="AT29" s="12"/>
      <c r="AU29" s="12"/>
      <c r="AV29" s="12"/>
      <c r="AW29" s="12"/>
      <c r="AX29" s="12"/>
    </row>
    <row r="30" spans="1:50" x14ac:dyDescent="0.25">
      <c r="A30" s="59" t="s">
        <v>76</v>
      </c>
      <c r="B30" s="59"/>
      <c r="C30" s="42">
        <f>'[1]Health Vote 2015-16'!AD30</f>
        <v>121511</v>
      </c>
      <c r="D30" s="55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9"/>
      <c r="W30" s="61"/>
      <c r="X30" s="61"/>
      <c r="Y30" s="12"/>
      <c r="Z30" s="61"/>
      <c r="AA30" s="61"/>
      <c r="AB30" s="61"/>
      <c r="AC30" s="60">
        <v>121929</v>
      </c>
      <c r="AD30" s="60">
        <v>121929</v>
      </c>
      <c r="AE30" s="60">
        <v>125017</v>
      </c>
      <c r="AF30" s="44">
        <f t="shared" si="0"/>
        <v>3506</v>
      </c>
      <c r="AG30" s="44">
        <f t="shared" si="1"/>
        <v>3088</v>
      </c>
      <c r="AH30" s="61"/>
      <c r="AI30" s="34"/>
      <c r="AJ30" s="34"/>
      <c r="AL30" s="34"/>
      <c r="AQ30" s="12"/>
      <c r="AR30" s="12"/>
      <c r="AS30" s="12"/>
      <c r="AT30" s="12"/>
      <c r="AU30" s="12"/>
      <c r="AV30" s="12"/>
      <c r="AW30" s="12"/>
      <c r="AX30" s="12"/>
    </row>
    <row r="31" spans="1:50" x14ac:dyDescent="0.25">
      <c r="A31" s="63" t="s">
        <v>77</v>
      </c>
      <c r="B31" s="63"/>
      <c r="C31" s="64">
        <f>'[1]Health Vote 2015-16'!AD31</f>
        <v>205636</v>
      </c>
      <c r="D31" s="55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9"/>
      <c r="W31" s="61"/>
      <c r="X31" s="61"/>
      <c r="Y31" s="65"/>
      <c r="Z31" s="58"/>
      <c r="AA31" s="58"/>
      <c r="AB31" s="58"/>
      <c r="AC31" s="66">
        <v>206465</v>
      </c>
      <c r="AD31" s="66">
        <v>206465</v>
      </c>
      <c r="AE31" s="66">
        <v>211894</v>
      </c>
      <c r="AF31" s="67">
        <f t="shared" si="0"/>
        <v>6258</v>
      </c>
      <c r="AG31" s="67">
        <f t="shared" si="1"/>
        <v>5429</v>
      </c>
      <c r="AH31" s="58"/>
      <c r="AI31" s="34"/>
      <c r="AJ31" s="34"/>
      <c r="AL31" s="34"/>
      <c r="AQ31" s="12"/>
      <c r="AR31" s="12"/>
      <c r="AS31" s="12"/>
      <c r="AT31" s="12"/>
      <c r="AU31" s="12"/>
      <c r="AV31" s="12"/>
      <c r="AW31" s="12"/>
      <c r="AX31" s="12"/>
    </row>
    <row r="32" spans="1:50" x14ac:dyDescent="0.25">
      <c r="A32" s="68" t="s">
        <v>78</v>
      </c>
      <c r="C32" s="37">
        <f>SUM(C12:C31)</f>
        <v>11719827</v>
      </c>
      <c r="D32" s="69">
        <f>MedicalSalaryIncreases16</f>
        <v>2.4156418276994194E-2</v>
      </c>
      <c r="E32" s="69">
        <f>MedicalProportion16</f>
        <v>0.10769400000000001</v>
      </c>
      <c r="F32" s="69">
        <f>NursingSalaryIncrease16</f>
        <v>2.4156418276994194E-2</v>
      </c>
      <c r="G32" s="69">
        <f>NursingProportion16</f>
        <v>0.13392000000000001</v>
      </c>
      <c r="H32" s="69">
        <f>OtherDHBWageIncreases16</f>
        <v>2.4156418276994194E-2</v>
      </c>
      <c r="I32" s="69">
        <f>OtherWageProportion16</f>
        <v>0.10657800000000001</v>
      </c>
      <c r="J32" s="69">
        <f>DHBFundedWageIncreases16</f>
        <v>2.5493909110655667E-2</v>
      </c>
      <c r="K32" s="69">
        <f>DHBFundedProportion16</f>
        <v>0.27632308223065183</v>
      </c>
      <c r="L32" s="69">
        <f>NonLabourHealthServicesCostIncrease16</f>
        <v>1.6E-2</v>
      </c>
      <c r="M32" s="69">
        <f>NonLabourProportion16</f>
        <v>0.37483465558676043</v>
      </c>
      <c r="N32" s="69"/>
      <c r="O32" s="69">
        <f>PopulationGrowth16</f>
        <v>2.5745145925983402E-2</v>
      </c>
      <c r="P32" s="69">
        <f>NonDemographicGrowth16</f>
        <v>0</v>
      </c>
      <c r="Q32" s="69">
        <f>ProductivityGrowth16</f>
        <v>0</v>
      </c>
      <c r="R32" s="69"/>
      <c r="S32" s="69"/>
      <c r="T32" s="69"/>
      <c r="U32" s="69">
        <f>((1+D32)*E32+(1+F32)*G32+(1+H32)*I32+(1+J32)*K32+(1+L32+N32)*M32)*(1+O32)*(1+P32)*(1-Q32)+R32*(1+S32)-1</f>
        <v>4.7083434416770764E-2</v>
      </c>
      <c r="V32" s="9"/>
      <c r="W32" s="45">
        <f>K92</f>
        <v>55480</v>
      </c>
      <c r="X32" s="47">
        <f>G92</f>
        <v>44845</v>
      </c>
      <c r="Y32" s="37">
        <f>C32*(1+U32)+W32+X32</f>
        <v>12371961.705930399</v>
      </c>
      <c r="Z32" s="37"/>
      <c r="AA32" s="70">
        <f>Y32-C32</f>
        <v>652134.70593039878</v>
      </c>
      <c r="AB32" s="37"/>
      <c r="AC32" s="44">
        <f>SUM(AC12:AC31)</f>
        <v>11797847</v>
      </c>
      <c r="AD32" s="44">
        <f>SUM(AD12:AD31)</f>
        <v>11797847</v>
      </c>
      <c r="AE32" s="44">
        <f>SUM(AE12:AE31)</f>
        <v>12219915</v>
      </c>
      <c r="AF32" s="44">
        <f t="shared" si="0"/>
        <v>500088</v>
      </c>
      <c r="AG32" s="44">
        <f t="shared" si="1"/>
        <v>422068</v>
      </c>
      <c r="AH32" s="37"/>
      <c r="AI32" s="45">
        <f>Y32-W32-AE32-X32</f>
        <v>51721.705930398777</v>
      </c>
      <c r="AJ32" s="46">
        <f>AI32+E92</f>
        <v>107201.70593039878</v>
      </c>
      <c r="AK32" s="46">
        <f>AJ32+G92</f>
        <v>152046.70593039878</v>
      </c>
      <c r="AL32" s="47">
        <f>AK32+I92</f>
        <v>152046.70593039878</v>
      </c>
      <c r="AQ32" s="12"/>
      <c r="AR32" s="12"/>
      <c r="AS32" s="12"/>
      <c r="AT32" s="12"/>
      <c r="AU32" s="12"/>
      <c r="AV32" s="12"/>
      <c r="AW32" s="12"/>
      <c r="AX32" s="12"/>
    </row>
    <row r="33" spans="1:50" x14ac:dyDescent="0.25">
      <c r="A33" s="57"/>
      <c r="B33" s="9"/>
      <c r="C33" s="55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8"/>
      <c r="V33" s="71" t="s">
        <v>52</v>
      </c>
      <c r="Y33" s="72">
        <f>Y32-W32-X32</f>
        <v>12271636.705930399</v>
      </c>
      <c r="Z33" s="73" t="s">
        <v>53</v>
      </c>
      <c r="AA33" s="74">
        <f>AA32/C32</f>
        <v>5.5643714359469534E-2</v>
      </c>
      <c r="AB33" s="12"/>
      <c r="AC33" s="53">
        <f>AC32-$C32</f>
        <v>78020</v>
      </c>
      <c r="AD33" s="53">
        <f>AD32-$C32</f>
        <v>78020</v>
      </c>
      <c r="AE33" s="54" t="s">
        <v>54</v>
      </c>
      <c r="AF33" s="53">
        <f>AA32-AF32</f>
        <v>152046.70593039878</v>
      </c>
      <c r="AG33" s="53">
        <f>$AA32-AG32</f>
        <v>230066.70593039878</v>
      </c>
      <c r="AH33" s="12"/>
      <c r="AI33" s="75"/>
      <c r="AJ33" s="34"/>
      <c r="AL33" s="34"/>
      <c r="AQ33" s="12"/>
      <c r="AR33" s="12"/>
      <c r="AS33" s="12"/>
      <c r="AT33" s="12"/>
      <c r="AU33" s="12"/>
      <c r="AV33" s="12"/>
      <c r="AW33" s="12"/>
      <c r="AX33" s="12"/>
    </row>
    <row r="34" spans="1:50" x14ac:dyDescent="0.25">
      <c r="A34" s="68"/>
      <c r="B34" s="37"/>
      <c r="C34" s="55"/>
      <c r="V34" s="76" t="s">
        <v>53</v>
      </c>
      <c r="W34" s="1"/>
      <c r="X34" s="1"/>
      <c r="Y34" s="72">
        <f>Y33-C32</f>
        <v>551809.70593039878</v>
      </c>
      <c r="AC34" s="34"/>
      <c r="AD34" s="34"/>
      <c r="AE34" s="34"/>
      <c r="AF34" s="34"/>
      <c r="AG34" s="34"/>
      <c r="AI34" s="75"/>
      <c r="AJ34" s="77"/>
      <c r="AL34" s="77"/>
      <c r="AQ34" s="12"/>
      <c r="AR34" s="12"/>
      <c r="AS34" s="12"/>
      <c r="AT34" s="12"/>
      <c r="AU34" s="12"/>
      <c r="AV34" s="12"/>
      <c r="AW34" s="12"/>
      <c r="AX34" s="12"/>
    </row>
    <row r="35" spans="1:50" x14ac:dyDescent="0.25">
      <c r="A35" s="57" t="s">
        <v>79</v>
      </c>
      <c r="B35" s="57"/>
      <c r="C35" s="42">
        <f>'[1]Health Vote 2015-16'!AD36</f>
        <v>174250</v>
      </c>
      <c r="D35" s="33"/>
      <c r="E35" s="33"/>
      <c r="F35" s="33"/>
      <c r="G35" s="33"/>
      <c r="H35" s="33"/>
      <c r="I35" s="33"/>
      <c r="J35" s="33">
        <f>_LCI16</f>
        <v>1.7999999999999999E-2</v>
      </c>
      <c r="K35" s="33">
        <f t="shared" ref="K35:K50" si="2">LabourProportion16</f>
        <v>0.62516534441323957</v>
      </c>
      <c r="L35" s="33"/>
      <c r="M35" s="33">
        <f t="shared" ref="M35:M50" si="3">NonLabourProportion16</f>
        <v>0.37483465558676043</v>
      </c>
      <c r="N35" s="33">
        <f t="shared" ref="N35:N50" si="4">NonLabourGeneralCostIncreases16</f>
        <v>1.6E-2</v>
      </c>
      <c r="O35" s="33"/>
      <c r="P35" s="33">
        <f t="shared" ref="P35:P50" si="5">NonDemographicGrowth16</f>
        <v>0</v>
      </c>
      <c r="Q35" s="33">
        <f t="shared" ref="Q35:Q50" si="6">ProductivityGrowth16</f>
        <v>0</v>
      </c>
      <c r="R35" s="33"/>
      <c r="S35" s="33"/>
      <c r="T35" s="33"/>
      <c r="U35" s="38">
        <f t="shared" ref="U35:U50" si="7">((1+D35)*E35+(1+F35)*G35+(1+H35)*I35+(1+J35)*K35+(1+L35+N35)*M35)*(1+O35)*(1+P35)*(1-Q35)+R35*(1+S35)-1</f>
        <v>1.7250330688826532E-2</v>
      </c>
      <c r="V35" s="39"/>
      <c r="W35" s="42">
        <f>K95</f>
        <v>0</v>
      </c>
      <c r="X35" s="42">
        <f>G95</f>
        <v>0</v>
      </c>
      <c r="Y35" s="42"/>
      <c r="Z35" s="39"/>
      <c r="AA35" s="39"/>
      <c r="AB35" s="39"/>
      <c r="AC35" s="60">
        <v>175302</v>
      </c>
      <c r="AD35" s="60">
        <v>175302</v>
      </c>
      <c r="AE35" s="60">
        <v>180014</v>
      </c>
      <c r="AF35" s="44">
        <f>AE35-C35</f>
        <v>5764</v>
      </c>
      <c r="AG35" s="44">
        <f t="shared" ref="AG35:AG50" si="8">AE35-AC35</f>
        <v>4712</v>
      </c>
      <c r="AH35" s="39"/>
      <c r="AI35" s="56">
        <f t="shared" ref="AI35:AI50" si="9">C35*(1+U35)-AE35</f>
        <v>-2758.1298774719762</v>
      </c>
      <c r="AJ35" s="56">
        <f t="shared" ref="AJ35:AJ51" si="10">AI35+E95</f>
        <v>-2758.1298774719762</v>
      </c>
      <c r="AK35" s="56">
        <f t="shared" ref="AK35:AK51" si="11">AJ35+G95</f>
        <v>-2758.1298774719762</v>
      </c>
      <c r="AL35" s="56">
        <f t="shared" ref="AL35:AL51" si="12">AK35+I95</f>
        <v>-2758.1298774719762</v>
      </c>
      <c r="AN35" s="55"/>
      <c r="AQ35" s="12"/>
      <c r="AR35" s="12"/>
      <c r="AS35" s="12"/>
      <c r="AT35" s="12"/>
      <c r="AU35" s="12"/>
      <c r="AV35" s="12"/>
      <c r="AW35" s="12"/>
      <c r="AX35" s="12"/>
    </row>
    <row r="36" spans="1:50" x14ac:dyDescent="0.25">
      <c r="A36" s="57" t="s">
        <v>80</v>
      </c>
      <c r="B36" s="57"/>
      <c r="C36" s="42">
        <f>'[1]Health Vote 2015-16'!AD37</f>
        <v>27096</v>
      </c>
      <c r="D36" s="33"/>
      <c r="E36" s="33"/>
      <c r="F36" s="33"/>
      <c r="G36" s="33"/>
      <c r="H36" s="33"/>
      <c r="I36" s="33"/>
      <c r="J36" s="33">
        <f>_LCI16</f>
        <v>1.7999999999999999E-2</v>
      </c>
      <c r="K36" s="33">
        <f t="shared" si="2"/>
        <v>0.62516534441323957</v>
      </c>
      <c r="L36" s="33"/>
      <c r="M36" s="33">
        <f t="shared" si="3"/>
        <v>0.37483465558676043</v>
      </c>
      <c r="N36" s="33">
        <f t="shared" si="4"/>
        <v>1.6E-2</v>
      </c>
      <c r="O36" s="33"/>
      <c r="P36" s="33">
        <f t="shared" si="5"/>
        <v>0</v>
      </c>
      <c r="Q36" s="33">
        <f t="shared" si="6"/>
        <v>0</v>
      </c>
      <c r="R36" s="33"/>
      <c r="S36" s="33"/>
      <c r="T36" s="33"/>
      <c r="U36" s="38">
        <f t="shared" si="7"/>
        <v>1.7250330688826532E-2</v>
      </c>
      <c r="V36" s="39"/>
      <c r="W36" s="42">
        <f t="shared" ref="W36:W51" si="13">K96</f>
        <v>0</v>
      </c>
      <c r="X36" s="42">
        <f t="shared" ref="X36:X51" si="14">G96</f>
        <v>0</v>
      </c>
      <c r="Y36" s="42"/>
      <c r="Z36" s="39"/>
      <c r="AA36" s="39"/>
      <c r="AB36" s="39"/>
      <c r="AC36" s="60">
        <v>27596</v>
      </c>
      <c r="AD36" s="60">
        <v>27596</v>
      </c>
      <c r="AE36" s="60">
        <v>27596</v>
      </c>
      <c r="AF36" s="44">
        <f>AE36-C36</f>
        <v>500</v>
      </c>
      <c r="AG36" s="44">
        <f t="shared" si="8"/>
        <v>0</v>
      </c>
      <c r="AH36" s="39"/>
      <c r="AI36" s="56">
        <f t="shared" si="9"/>
        <v>-32.585039655557921</v>
      </c>
      <c r="AJ36" s="56">
        <f t="shared" si="10"/>
        <v>-32.585039655557921</v>
      </c>
      <c r="AK36" s="56">
        <f t="shared" si="11"/>
        <v>-32.585039655557921</v>
      </c>
      <c r="AL36" s="56">
        <f t="shared" si="12"/>
        <v>-32.585039655557921</v>
      </c>
      <c r="AN36" s="55"/>
      <c r="AQ36" s="12"/>
      <c r="AR36" s="12"/>
      <c r="AS36" s="12"/>
      <c r="AT36" s="12"/>
      <c r="AU36" s="12"/>
      <c r="AV36" s="12"/>
      <c r="AW36" s="12"/>
      <c r="AX36" s="12"/>
    </row>
    <row r="37" spans="1:50" s="24" customFormat="1" x14ac:dyDescent="0.25">
      <c r="A37" s="78" t="s">
        <v>81</v>
      </c>
      <c r="B37" s="78"/>
      <c r="C37" s="79">
        <f>'[1]Health Vote 2015-16'!AD38</f>
        <v>260</v>
      </c>
      <c r="D37" s="23"/>
      <c r="E37" s="23"/>
      <c r="F37" s="23"/>
      <c r="G37" s="23"/>
      <c r="H37" s="23"/>
      <c r="I37" s="23"/>
      <c r="J37" s="23">
        <f>_LCI16</f>
        <v>1.7999999999999999E-2</v>
      </c>
      <c r="K37" s="23">
        <f t="shared" si="2"/>
        <v>0.62516534441323957</v>
      </c>
      <c r="L37" s="23"/>
      <c r="M37" s="23">
        <f t="shared" si="3"/>
        <v>0.37483465558676043</v>
      </c>
      <c r="N37" s="23">
        <f t="shared" si="4"/>
        <v>1.6E-2</v>
      </c>
      <c r="O37" s="23"/>
      <c r="P37" s="23">
        <f t="shared" si="5"/>
        <v>0</v>
      </c>
      <c r="Q37" s="23">
        <f t="shared" si="6"/>
        <v>0</v>
      </c>
      <c r="R37" s="23"/>
      <c r="S37" s="23"/>
      <c r="T37" s="23"/>
      <c r="U37" s="80">
        <f t="shared" si="7"/>
        <v>1.7250330688826532E-2</v>
      </c>
      <c r="V37" s="81"/>
      <c r="W37" s="42">
        <f t="shared" si="13"/>
        <v>0</v>
      </c>
      <c r="X37" s="42">
        <f t="shared" si="14"/>
        <v>-260</v>
      </c>
      <c r="Y37" s="79"/>
      <c r="Z37" s="81"/>
      <c r="AA37" s="81"/>
      <c r="AB37" s="81"/>
      <c r="AC37" s="60"/>
      <c r="AD37" s="60"/>
      <c r="AE37" s="60"/>
      <c r="AF37" s="44">
        <f>AE37-C37</f>
        <v>-260</v>
      </c>
      <c r="AG37" s="44">
        <f>AE37-AC37</f>
        <v>0</v>
      </c>
      <c r="AH37" s="81"/>
      <c r="AI37" s="56">
        <f t="shared" si="9"/>
        <v>264.48508597909489</v>
      </c>
      <c r="AJ37" s="56">
        <f t="shared" si="10"/>
        <v>264.48508597909489</v>
      </c>
      <c r="AK37" s="56">
        <f t="shared" si="11"/>
        <v>4.4850859790948903</v>
      </c>
      <c r="AL37" s="56">
        <f t="shared" si="12"/>
        <v>4.4850859790948903</v>
      </c>
      <c r="AN37" s="55"/>
      <c r="AQ37" s="34"/>
      <c r="AR37" s="34"/>
      <c r="AS37" s="34"/>
      <c r="AT37" s="34"/>
      <c r="AU37" s="34"/>
      <c r="AV37" s="34"/>
      <c r="AW37" s="34"/>
      <c r="AX37" s="34"/>
    </row>
    <row r="38" spans="1:50" x14ac:dyDescent="0.25">
      <c r="A38" s="57" t="s">
        <v>82</v>
      </c>
      <c r="B38" s="57"/>
      <c r="C38" s="42">
        <f>'[1]Health Vote 2015-16'!AD39</f>
        <v>87048</v>
      </c>
      <c r="D38" s="33"/>
      <c r="E38" s="33"/>
      <c r="F38" s="33"/>
      <c r="G38" s="33"/>
      <c r="H38" s="33"/>
      <c r="I38" s="33"/>
      <c r="J38" s="33">
        <f>DHBProviderWageIncrease16</f>
        <v>2.4156418276994194E-2</v>
      </c>
      <c r="K38" s="33">
        <f t="shared" si="2"/>
        <v>0.62516534441323957</v>
      </c>
      <c r="L38" s="33"/>
      <c r="M38" s="33">
        <f t="shared" si="3"/>
        <v>0.37483465558676043</v>
      </c>
      <c r="N38" s="33">
        <f t="shared" si="4"/>
        <v>1.6E-2</v>
      </c>
      <c r="O38" s="33">
        <f>ChildPopGrowth16</f>
        <v>5.0000000000000001E-3</v>
      </c>
      <c r="P38" s="33">
        <f t="shared" si="5"/>
        <v>0</v>
      </c>
      <c r="Q38" s="33">
        <f t="shared" si="6"/>
        <v>0</v>
      </c>
      <c r="R38" s="33"/>
      <c r="S38" s="33"/>
      <c r="T38" s="33"/>
      <c r="U38" s="38">
        <f t="shared" si="7"/>
        <v>2.6204605591522157E-2</v>
      </c>
      <c r="V38" s="39"/>
      <c r="W38" s="42">
        <f t="shared" si="13"/>
        <v>70</v>
      </c>
      <c r="X38" s="42">
        <f t="shared" si="14"/>
        <v>0</v>
      </c>
      <c r="Y38" s="42"/>
      <c r="Z38" s="39"/>
      <c r="AA38" s="39"/>
      <c r="AB38" s="39"/>
      <c r="AC38" s="60">
        <v>85249</v>
      </c>
      <c r="AD38" s="60">
        <v>85249</v>
      </c>
      <c r="AE38" s="60">
        <v>85001</v>
      </c>
      <c r="AF38" s="44">
        <f t="shared" ref="AF38:AF50" si="15">AE38-C38</f>
        <v>-2047</v>
      </c>
      <c r="AG38" s="44">
        <f t="shared" si="8"/>
        <v>-248</v>
      </c>
      <c r="AH38" s="39"/>
      <c r="AI38" s="56">
        <f t="shared" si="9"/>
        <v>4328.058507530819</v>
      </c>
      <c r="AJ38" s="56">
        <f t="shared" si="10"/>
        <v>4398.058507530819</v>
      </c>
      <c r="AK38" s="56">
        <f t="shared" si="11"/>
        <v>4398.058507530819</v>
      </c>
      <c r="AL38" s="56">
        <f t="shared" si="12"/>
        <v>4398.058507530819</v>
      </c>
      <c r="AN38" s="55"/>
      <c r="AQ38" s="12"/>
      <c r="AR38" s="12"/>
      <c r="AS38" s="12"/>
      <c r="AT38" s="12"/>
      <c r="AU38" s="12"/>
      <c r="AV38" s="12"/>
      <c r="AW38" s="12"/>
      <c r="AX38" s="12"/>
    </row>
    <row r="39" spans="1:50" x14ac:dyDescent="0.25">
      <c r="A39" s="57" t="s">
        <v>83</v>
      </c>
      <c r="B39" s="57"/>
      <c r="C39" s="42">
        <f>'[1]Health Vote 2015-16'!AD40</f>
        <v>45378</v>
      </c>
      <c r="D39" s="33"/>
      <c r="E39" s="33"/>
      <c r="F39" s="33"/>
      <c r="G39" s="33"/>
      <c r="H39" s="33"/>
      <c r="I39" s="33"/>
      <c r="J39" s="33">
        <f>_LCI16</f>
        <v>1.7999999999999999E-2</v>
      </c>
      <c r="K39" s="33">
        <f t="shared" si="2"/>
        <v>0.62516534441323957</v>
      </c>
      <c r="L39" s="33"/>
      <c r="M39" s="33">
        <f t="shared" si="3"/>
        <v>0.37483465558676043</v>
      </c>
      <c r="N39" s="33">
        <f t="shared" si="4"/>
        <v>1.6E-2</v>
      </c>
      <c r="O39" s="33">
        <f t="shared" ref="O39:O50" si="16">PopulationGrowth16</f>
        <v>2.5745145925983402E-2</v>
      </c>
      <c r="P39" s="33">
        <f t="shared" si="5"/>
        <v>0</v>
      </c>
      <c r="Q39" s="33">
        <f t="shared" si="6"/>
        <v>0</v>
      </c>
      <c r="R39" s="33"/>
      <c r="S39" s="33"/>
      <c r="T39" s="33"/>
      <c r="U39" s="38">
        <f t="shared" si="7"/>
        <v>4.3439588895665349E-2</v>
      </c>
      <c r="V39" s="39"/>
      <c r="W39" s="42">
        <f t="shared" si="13"/>
        <v>4500</v>
      </c>
      <c r="X39" s="42">
        <f t="shared" si="14"/>
        <v>-12760</v>
      </c>
      <c r="Y39" s="42"/>
      <c r="Z39" s="39"/>
      <c r="AA39" s="39"/>
      <c r="AB39" s="39"/>
      <c r="AC39" s="60">
        <v>27170</v>
      </c>
      <c r="AD39" s="60">
        <v>25670</v>
      </c>
      <c r="AE39" s="60">
        <v>37155</v>
      </c>
      <c r="AF39" s="44">
        <f t="shared" si="15"/>
        <v>-8223</v>
      </c>
      <c r="AG39" s="44">
        <f t="shared" si="8"/>
        <v>9985</v>
      </c>
      <c r="AH39" s="39"/>
      <c r="AI39" s="56">
        <f t="shared" si="9"/>
        <v>10194.201664907501</v>
      </c>
      <c r="AJ39" s="56">
        <f t="shared" si="10"/>
        <v>14694.201664907501</v>
      </c>
      <c r="AK39" s="56">
        <f t="shared" si="11"/>
        <v>1934.2016649075013</v>
      </c>
      <c r="AL39" s="56">
        <f t="shared" si="12"/>
        <v>1934.2016649075013</v>
      </c>
      <c r="AN39" s="55"/>
      <c r="AQ39" s="12"/>
      <c r="AR39" s="12"/>
      <c r="AS39" s="12"/>
      <c r="AT39" s="12"/>
      <c r="AU39" s="12"/>
      <c r="AV39" s="12"/>
      <c r="AW39" s="12"/>
      <c r="AX39" s="12"/>
    </row>
    <row r="40" spans="1:50" x14ac:dyDescent="0.25">
      <c r="A40" s="57" t="s">
        <v>84</v>
      </c>
      <c r="B40" s="57"/>
      <c r="C40" s="42">
        <f>'[1]Health Vote 2015-16'!AD41</f>
        <v>1158113</v>
      </c>
      <c r="D40" s="33"/>
      <c r="E40" s="33"/>
      <c r="F40" s="33"/>
      <c r="G40" s="33"/>
      <c r="H40" s="33"/>
      <c r="I40" s="33"/>
      <c r="J40" s="33">
        <f>HighMinWageSectorWageIncrease</f>
        <v>0.03</v>
      </c>
      <c r="K40" s="33">
        <f t="shared" si="2"/>
        <v>0.62516534441323957</v>
      </c>
      <c r="L40" s="33"/>
      <c r="M40" s="33">
        <f t="shared" si="3"/>
        <v>0.37483465558676043</v>
      </c>
      <c r="N40" s="33">
        <f t="shared" si="4"/>
        <v>1.6E-2</v>
      </c>
      <c r="O40" s="33">
        <f t="shared" si="16"/>
        <v>2.5745145925983402E-2</v>
      </c>
      <c r="P40" s="33">
        <f t="shared" si="5"/>
        <v>0</v>
      </c>
      <c r="Q40" s="33">
        <f t="shared" si="6"/>
        <v>0</v>
      </c>
      <c r="R40" s="33"/>
      <c r="S40" s="33"/>
      <c r="T40" s="33"/>
      <c r="U40" s="38">
        <f t="shared" si="7"/>
        <v>5.1134712704861585E-2</v>
      </c>
      <c r="V40" s="39"/>
      <c r="W40" s="42">
        <f t="shared" si="13"/>
        <v>0</v>
      </c>
      <c r="X40" s="42">
        <f t="shared" si="14"/>
        <v>-31845</v>
      </c>
      <c r="Y40" s="42"/>
      <c r="Z40" s="42"/>
      <c r="AA40" s="39"/>
      <c r="AB40" s="39"/>
      <c r="AC40" s="60">
        <v>1167018</v>
      </c>
      <c r="AD40" s="60">
        <v>1167018</v>
      </c>
      <c r="AE40" s="60">
        <v>1165888</v>
      </c>
      <c r="AF40" s="44">
        <f t="shared" si="15"/>
        <v>7775</v>
      </c>
      <c r="AG40" s="44">
        <f t="shared" si="8"/>
        <v>-1130</v>
      </c>
      <c r="AH40" s="39"/>
      <c r="AI40" s="56">
        <f t="shared" si="9"/>
        <v>51444.775534765329</v>
      </c>
      <c r="AJ40" s="56">
        <f t="shared" si="10"/>
        <v>51444.775534765329</v>
      </c>
      <c r="AK40" s="56">
        <f t="shared" si="11"/>
        <v>19599.775534765329</v>
      </c>
      <c r="AL40" s="56">
        <f t="shared" si="12"/>
        <v>19599.775534765329</v>
      </c>
      <c r="AN40" s="55"/>
      <c r="AQ40" s="12"/>
      <c r="AR40" s="12"/>
      <c r="AS40" s="12"/>
      <c r="AT40" s="12"/>
      <c r="AU40" s="12"/>
      <c r="AV40" s="12"/>
      <c r="AW40" s="12"/>
      <c r="AX40" s="12"/>
    </row>
    <row r="41" spans="1:50" x14ac:dyDescent="0.25">
      <c r="A41" s="57" t="s">
        <v>85</v>
      </c>
      <c r="B41" s="57"/>
      <c r="C41" s="42">
        <f>'[1]Health Vote 2015-16'!AD42</f>
        <v>316512</v>
      </c>
      <c r="D41" s="33"/>
      <c r="E41" s="33"/>
      <c r="F41" s="33"/>
      <c r="G41" s="33"/>
      <c r="H41" s="33"/>
      <c r="I41" s="33"/>
      <c r="J41" s="33">
        <f>DHBProviderWageIncrease16</f>
        <v>2.4156418276994194E-2</v>
      </c>
      <c r="K41" s="33">
        <f t="shared" si="2"/>
        <v>0.62516534441323957</v>
      </c>
      <c r="L41" s="33"/>
      <c r="M41" s="33">
        <f t="shared" si="3"/>
        <v>0.37483465558676043</v>
      </c>
      <c r="N41" s="33">
        <f t="shared" si="4"/>
        <v>1.6E-2</v>
      </c>
      <c r="O41" s="33">
        <f t="shared" si="16"/>
        <v>2.5745145925983402E-2</v>
      </c>
      <c r="P41" s="33">
        <f t="shared" si="5"/>
        <v>0</v>
      </c>
      <c r="Q41" s="33">
        <f t="shared" si="6"/>
        <v>0</v>
      </c>
      <c r="R41" s="33"/>
      <c r="S41" s="33"/>
      <c r="T41" s="33"/>
      <c r="U41" s="38">
        <f t="shared" si="7"/>
        <v>4.7387455634221087E-2</v>
      </c>
      <c r="V41" s="39"/>
      <c r="W41" s="42">
        <f t="shared" si="13"/>
        <v>24000</v>
      </c>
      <c r="X41" s="42">
        <f t="shared" si="14"/>
        <v>0</v>
      </c>
      <c r="Y41" s="42"/>
      <c r="Z41" s="39"/>
      <c r="AA41" s="39"/>
      <c r="AB41" s="39"/>
      <c r="AC41" s="60">
        <v>324367</v>
      </c>
      <c r="AD41" s="60">
        <v>323367</v>
      </c>
      <c r="AE41" s="60">
        <v>355517</v>
      </c>
      <c r="AF41" s="44">
        <f t="shared" si="15"/>
        <v>39005</v>
      </c>
      <c r="AG41" s="44">
        <f t="shared" si="8"/>
        <v>31150</v>
      </c>
      <c r="AH41" s="39"/>
      <c r="AI41" s="56">
        <f t="shared" si="9"/>
        <v>-24006.301642301434</v>
      </c>
      <c r="AJ41" s="56">
        <f t="shared" si="10"/>
        <v>-6.3016423014341854</v>
      </c>
      <c r="AK41" s="56">
        <f t="shared" si="11"/>
        <v>-6.3016423014341854</v>
      </c>
      <c r="AL41" s="56">
        <f t="shared" si="12"/>
        <v>-6.3016423014341854</v>
      </c>
      <c r="AN41" s="55"/>
      <c r="AQ41" s="12"/>
      <c r="AR41" s="12"/>
      <c r="AS41" s="12"/>
      <c r="AT41" s="12"/>
      <c r="AU41" s="12"/>
      <c r="AV41" s="12"/>
      <c r="AW41" s="12"/>
      <c r="AX41" s="12"/>
    </row>
    <row r="42" spans="1:50" x14ac:dyDescent="0.25">
      <c r="A42" s="57" t="s">
        <v>86</v>
      </c>
      <c r="B42" s="57"/>
      <c r="C42" s="42">
        <f>'[1]Health Vote 2015-16'!AD43</f>
        <v>96440</v>
      </c>
      <c r="D42" s="33"/>
      <c r="E42" s="33"/>
      <c r="F42" s="33"/>
      <c r="G42" s="33"/>
      <c r="H42" s="33"/>
      <c r="I42" s="33"/>
      <c r="J42" s="33">
        <f>_LCI16</f>
        <v>1.7999999999999999E-2</v>
      </c>
      <c r="K42" s="33">
        <f t="shared" si="2"/>
        <v>0.62516534441323957</v>
      </c>
      <c r="L42" s="33"/>
      <c r="M42" s="33">
        <f t="shared" si="3"/>
        <v>0.37483465558676043</v>
      </c>
      <c r="N42" s="33">
        <f t="shared" si="4"/>
        <v>1.6E-2</v>
      </c>
      <c r="O42" s="33">
        <f t="shared" si="16"/>
        <v>2.5745145925983402E-2</v>
      </c>
      <c r="P42" s="33">
        <f t="shared" si="5"/>
        <v>0</v>
      </c>
      <c r="Q42" s="33">
        <f t="shared" si="6"/>
        <v>0</v>
      </c>
      <c r="R42" s="33"/>
      <c r="S42" s="33"/>
      <c r="T42" s="33"/>
      <c r="U42" s="38">
        <f t="shared" si="7"/>
        <v>4.3439588895665349E-2</v>
      </c>
      <c r="V42" s="39"/>
      <c r="W42" s="42">
        <f t="shared" si="13"/>
        <v>0</v>
      </c>
      <c r="X42" s="42">
        <f t="shared" si="14"/>
        <v>0</v>
      </c>
      <c r="Y42" s="42"/>
      <c r="Z42" s="39"/>
      <c r="AA42" s="39"/>
      <c r="AB42" s="39"/>
      <c r="AC42" s="60">
        <v>95559</v>
      </c>
      <c r="AD42" s="60">
        <v>95559</v>
      </c>
      <c r="AE42" s="60">
        <v>99946</v>
      </c>
      <c r="AF42" s="44">
        <f t="shared" si="15"/>
        <v>3506</v>
      </c>
      <c r="AG42" s="44">
        <f t="shared" si="8"/>
        <v>4387</v>
      </c>
      <c r="AH42" s="39"/>
      <c r="AI42" s="56">
        <f t="shared" si="9"/>
        <v>683.3139530979679</v>
      </c>
      <c r="AJ42" s="56">
        <f t="shared" si="10"/>
        <v>683.3139530979679</v>
      </c>
      <c r="AK42" s="56">
        <f t="shared" si="11"/>
        <v>683.3139530979679</v>
      </c>
      <c r="AL42" s="56">
        <f t="shared" si="12"/>
        <v>683.3139530979679</v>
      </c>
      <c r="AN42" s="55"/>
      <c r="AQ42" s="12"/>
      <c r="AR42" s="12"/>
      <c r="AS42" s="12"/>
      <c r="AT42" s="12"/>
      <c r="AU42" s="12"/>
      <c r="AV42" s="12"/>
      <c r="AW42" s="12"/>
      <c r="AX42" s="12"/>
    </row>
    <row r="43" spans="1:50" x14ac:dyDescent="0.25">
      <c r="A43" s="57" t="s">
        <v>87</v>
      </c>
      <c r="B43" s="57"/>
      <c r="C43" s="42">
        <f>'[1]Health Vote 2015-16'!AD44</f>
        <v>14887</v>
      </c>
      <c r="D43" s="33"/>
      <c r="E43" s="33"/>
      <c r="F43" s="33"/>
      <c r="G43" s="33"/>
      <c r="H43" s="33"/>
      <c r="I43" s="33"/>
      <c r="J43" s="33">
        <f>_LCI16</f>
        <v>1.7999999999999999E-2</v>
      </c>
      <c r="K43" s="33">
        <f t="shared" si="2"/>
        <v>0.62516534441323957</v>
      </c>
      <c r="L43" s="33"/>
      <c r="M43" s="33">
        <f t="shared" si="3"/>
        <v>0.37483465558676043</v>
      </c>
      <c r="N43" s="33">
        <f t="shared" si="4"/>
        <v>1.6E-2</v>
      </c>
      <c r="O43" s="33"/>
      <c r="P43" s="33">
        <f t="shared" si="5"/>
        <v>0</v>
      </c>
      <c r="Q43" s="33">
        <f t="shared" si="6"/>
        <v>0</v>
      </c>
      <c r="R43" s="33"/>
      <c r="S43" s="33"/>
      <c r="T43" s="33"/>
      <c r="U43" s="38">
        <f t="shared" si="7"/>
        <v>1.7250330688826532E-2</v>
      </c>
      <c r="V43" s="39"/>
      <c r="W43" s="42">
        <f t="shared" si="13"/>
        <v>0</v>
      </c>
      <c r="X43" s="42">
        <f t="shared" si="14"/>
        <v>0</v>
      </c>
      <c r="Y43" s="42"/>
      <c r="Z43" s="39"/>
      <c r="AA43" s="39"/>
      <c r="AB43" s="39"/>
      <c r="AC43" s="60">
        <v>12646</v>
      </c>
      <c r="AD43" s="60">
        <v>11646</v>
      </c>
      <c r="AE43" s="60">
        <v>13065</v>
      </c>
      <c r="AF43" s="44">
        <f t="shared" si="15"/>
        <v>-1822</v>
      </c>
      <c r="AG43" s="44">
        <f t="shared" si="8"/>
        <v>419</v>
      </c>
      <c r="AH43" s="39"/>
      <c r="AI43" s="56">
        <f t="shared" si="9"/>
        <v>2078.8056729645614</v>
      </c>
      <c r="AJ43" s="56">
        <f t="shared" si="10"/>
        <v>2078.8056729645614</v>
      </c>
      <c r="AK43" s="56">
        <f t="shared" si="11"/>
        <v>2078.8056729645614</v>
      </c>
      <c r="AL43" s="56">
        <f t="shared" si="12"/>
        <v>2078.8056729645614</v>
      </c>
      <c r="AN43" s="55"/>
      <c r="AQ43" s="12"/>
      <c r="AR43" s="12"/>
      <c r="AS43" s="12"/>
      <c r="AT43" s="12"/>
      <c r="AU43" s="12"/>
      <c r="AV43" s="12"/>
      <c r="AW43" s="12"/>
      <c r="AX43" s="12"/>
    </row>
    <row r="44" spans="1:50" x14ac:dyDescent="0.25">
      <c r="A44" s="57" t="s">
        <v>88</v>
      </c>
      <c r="B44" s="57"/>
      <c r="C44" s="42">
        <f>'[1]Health Vote 2015-16'!AD45</f>
        <v>7308</v>
      </c>
      <c r="D44" s="33"/>
      <c r="E44" s="33"/>
      <c r="F44" s="33"/>
      <c r="G44" s="33"/>
      <c r="H44" s="33"/>
      <c r="I44" s="33"/>
      <c r="J44" s="33">
        <f>_LCI16</f>
        <v>1.7999999999999999E-2</v>
      </c>
      <c r="K44" s="33">
        <f t="shared" si="2"/>
        <v>0.62516534441323957</v>
      </c>
      <c r="L44" s="33"/>
      <c r="M44" s="33">
        <f t="shared" si="3"/>
        <v>0.37483465558676043</v>
      </c>
      <c r="N44" s="33">
        <f t="shared" si="4"/>
        <v>1.6E-2</v>
      </c>
      <c r="O44" s="33">
        <f t="shared" si="16"/>
        <v>2.5745145925983402E-2</v>
      </c>
      <c r="P44" s="33">
        <f t="shared" si="5"/>
        <v>0</v>
      </c>
      <c r="Q44" s="33">
        <f t="shared" si="6"/>
        <v>0</v>
      </c>
      <c r="R44" s="33"/>
      <c r="S44" s="33"/>
      <c r="T44" s="33"/>
      <c r="U44" s="38">
        <f t="shared" si="7"/>
        <v>4.3439588895665349E-2</v>
      </c>
      <c r="V44" s="39"/>
      <c r="W44" s="42">
        <f t="shared" si="13"/>
        <v>0</v>
      </c>
      <c r="X44" s="42">
        <f t="shared" si="14"/>
        <v>20</v>
      </c>
      <c r="Y44" s="42"/>
      <c r="Z44" s="39"/>
      <c r="AA44" s="39"/>
      <c r="AB44" s="39"/>
      <c r="AC44" s="60">
        <v>4517</v>
      </c>
      <c r="AD44" s="60">
        <v>4517</v>
      </c>
      <c r="AE44" s="60">
        <v>6828</v>
      </c>
      <c r="AF44" s="44">
        <f t="shared" si="15"/>
        <v>-480</v>
      </c>
      <c r="AG44" s="44">
        <f t="shared" si="8"/>
        <v>2311</v>
      </c>
      <c r="AH44" s="39"/>
      <c r="AI44" s="56">
        <f t="shared" si="9"/>
        <v>797.45651564952277</v>
      </c>
      <c r="AJ44" s="56">
        <f t="shared" si="10"/>
        <v>797.45651564952277</v>
      </c>
      <c r="AK44" s="56">
        <f t="shared" si="11"/>
        <v>817.45651564952277</v>
      </c>
      <c r="AL44" s="56">
        <f t="shared" si="12"/>
        <v>817.45651564952277</v>
      </c>
      <c r="AN44" s="55"/>
      <c r="AQ44" s="12"/>
      <c r="AR44" s="12"/>
      <c r="AS44" s="12"/>
      <c r="AT44" s="12"/>
      <c r="AU44" s="12"/>
      <c r="AV44" s="12"/>
      <c r="AW44" s="12"/>
      <c r="AX44" s="12"/>
    </row>
    <row r="45" spans="1:50" x14ac:dyDescent="0.25">
      <c r="A45" s="57" t="s">
        <v>89</v>
      </c>
      <c r="B45" s="57"/>
      <c r="C45" s="42">
        <f>'[1]Health Vote 2015-16'!AD46</f>
        <v>146767</v>
      </c>
      <c r="D45" s="33"/>
      <c r="E45" s="33"/>
      <c r="F45" s="33"/>
      <c r="G45" s="33"/>
      <c r="H45" s="33"/>
      <c r="I45" s="33"/>
      <c r="J45" s="33">
        <f>DHBProviderWageIncrease16</f>
        <v>2.4156418276994194E-2</v>
      </c>
      <c r="K45" s="33">
        <f t="shared" si="2"/>
        <v>0.62516534441323957</v>
      </c>
      <c r="L45" s="33"/>
      <c r="M45" s="33">
        <f t="shared" si="3"/>
        <v>0.37483465558676043</v>
      </c>
      <c r="N45" s="33">
        <f t="shared" si="4"/>
        <v>1.6E-2</v>
      </c>
      <c r="O45" s="33">
        <f>BirthGrowth16</f>
        <v>0.06</v>
      </c>
      <c r="P45" s="33">
        <f t="shared" si="5"/>
        <v>0</v>
      </c>
      <c r="Q45" s="33">
        <f t="shared" si="6"/>
        <v>0</v>
      </c>
      <c r="R45" s="33"/>
      <c r="S45" s="33"/>
      <c r="T45" s="33"/>
      <c r="U45" s="38">
        <f t="shared" si="7"/>
        <v>8.2365056643794565E-2</v>
      </c>
      <c r="V45" s="39"/>
      <c r="W45" s="42">
        <f t="shared" si="13"/>
        <v>0</v>
      </c>
      <c r="X45" s="42">
        <f t="shared" si="14"/>
        <v>0</v>
      </c>
      <c r="Y45" s="42"/>
      <c r="Z45" s="39"/>
      <c r="AA45" s="39"/>
      <c r="AB45" s="39"/>
      <c r="AC45" s="60">
        <v>144657</v>
      </c>
      <c r="AD45" s="60">
        <v>144657</v>
      </c>
      <c r="AE45" s="60">
        <v>146767</v>
      </c>
      <c r="AF45" s="44">
        <f t="shared" si="15"/>
        <v>0</v>
      </c>
      <c r="AG45" s="44">
        <f t="shared" si="8"/>
        <v>2110</v>
      </c>
      <c r="AH45" s="39"/>
      <c r="AI45" s="56">
        <f t="shared" si="9"/>
        <v>12088.4722684398</v>
      </c>
      <c r="AJ45" s="56">
        <f t="shared" si="10"/>
        <v>12088.4722684398</v>
      </c>
      <c r="AK45" s="56">
        <f t="shared" si="11"/>
        <v>12088.4722684398</v>
      </c>
      <c r="AL45" s="56">
        <f t="shared" si="12"/>
        <v>12088.4722684398</v>
      </c>
      <c r="AN45" s="55"/>
      <c r="AQ45" s="12"/>
      <c r="AR45" s="12"/>
      <c r="AS45" s="12"/>
      <c r="AT45" s="12"/>
      <c r="AU45" s="12"/>
      <c r="AV45" s="12"/>
      <c r="AW45" s="12"/>
      <c r="AX45" s="12"/>
    </row>
    <row r="46" spans="1:50" x14ac:dyDescent="0.25">
      <c r="A46" s="57" t="s">
        <v>90</v>
      </c>
      <c r="B46" s="57"/>
      <c r="C46" s="42">
        <f>'[1]Health Vote 2015-16'!AD47</f>
        <v>55797</v>
      </c>
      <c r="D46" s="33"/>
      <c r="E46" s="33"/>
      <c r="F46" s="33"/>
      <c r="G46" s="33"/>
      <c r="H46" s="33"/>
      <c r="I46" s="33"/>
      <c r="J46" s="33">
        <f>DHBProviderWageIncrease16</f>
        <v>2.4156418276994194E-2</v>
      </c>
      <c r="K46" s="33">
        <f t="shared" si="2"/>
        <v>0.62516534441323957</v>
      </c>
      <c r="L46" s="33"/>
      <c r="M46" s="33">
        <f t="shared" si="3"/>
        <v>0.37483465558676043</v>
      </c>
      <c r="N46" s="33">
        <f t="shared" si="4"/>
        <v>1.6E-2</v>
      </c>
      <c r="O46" s="33">
        <f t="shared" si="16"/>
        <v>2.5745145925983402E-2</v>
      </c>
      <c r="P46" s="33">
        <f t="shared" si="5"/>
        <v>0</v>
      </c>
      <c r="Q46" s="33">
        <f t="shared" si="6"/>
        <v>0</v>
      </c>
      <c r="R46" s="33"/>
      <c r="S46" s="33"/>
      <c r="T46" s="33"/>
      <c r="U46" s="38">
        <f t="shared" si="7"/>
        <v>4.7387455634221087E-2</v>
      </c>
      <c r="V46" s="39"/>
      <c r="W46" s="42">
        <f t="shared" si="13"/>
        <v>3803</v>
      </c>
      <c r="X46" s="42">
        <f t="shared" si="14"/>
        <v>2309</v>
      </c>
      <c r="Y46" s="42"/>
      <c r="Z46" s="39"/>
      <c r="AA46" s="39"/>
      <c r="AB46" s="39"/>
      <c r="AC46" s="60">
        <v>53482</v>
      </c>
      <c r="AD46" s="60">
        <v>53482</v>
      </c>
      <c r="AE46" s="60">
        <v>58962</v>
      </c>
      <c r="AF46" s="44">
        <f t="shared" si="15"/>
        <v>3165</v>
      </c>
      <c r="AG46" s="44">
        <f t="shared" si="8"/>
        <v>5480</v>
      </c>
      <c r="AH46" s="39"/>
      <c r="AI46" s="56">
        <f t="shared" si="9"/>
        <v>-520.92213797736622</v>
      </c>
      <c r="AJ46" s="56">
        <f t="shared" si="10"/>
        <v>3479.0778620226338</v>
      </c>
      <c r="AK46" s="56">
        <f t="shared" si="11"/>
        <v>5788.0778620226338</v>
      </c>
      <c r="AL46" s="56">
        <f t="shared" si="12"/>
        <v>5591.0778620226338</v>
      </c>
      <c r="AN46" s="55"/>
    </row>
    <row r="47" spans="1:50" x14ac:dyDescent="0.25">
      <c r="A47" s="57" t="s">
        <v>91</v>
      </c>
      <c r="B47" s="57"/>
      <c r="C47" s="42">
        <f>'[1]Health Vote 2015-16'!AD48</f>
        <v>77933</v>
      </c>
      <c r="D47" s="33"/>
      <c r="E47" s="33"/>
      <c r="F47" s="33"/>
      <c r="G47" s="33"/>
      <c r="H47" s="33"/>
      <c r="I47" s="33"/>
      <c r="J47" s="33">
        <f>DHBProviderWageIncrease16</f>
        <v>2.4156418276994194E-2</v>
      </c>
      <c r="K47" s="33">
        <f t="shared" si="2"/>
        <v>0.62516534441323957</v>
      </c>
      <c r="L47" s="33"/>
      <c r="M47" s="33">
        <f t="shared" si="3"/>
        <v>0.37483465558676043</v>
      </c>
      <c r="N47" s="33">
        <f t="shared" si="4"/>
        <v>1.6E-2</v>
      </c>
      <c r="O47" s="33">
        <f t="shared" si="16"/>
        <v>2.5745145925983402E-2</v>
      </c>
      <c r="P47" s="33">
        <f t="shared" si="5"/>
        <v>0</v>
      </c>
      <c r="Q47" s="33">
        <f t="shared" si="6"/>
        <v>0</v>
      </c>
      <c r="R47" s="33"/>
      <c r="S47" s="33"/>
      <c r="T47" s="33"/>
      <c r="U47" s="38">
        <f t="shared" si="7"/>
        <v>4.7387455634221087E-2</v>
      </c>
      <c r="V47" s="39"/>
      <c r="W47" s="42">
        <f t="shared" si="13"/>
        <v>0</v>
      </c>
      <c r="X47" s="42">
        <f t="shared" si="14"/>
        <v>15321</v>
      </c>
      <c r="Y47" s="42"/>
      <c r="Z47" s="39"/>
      <c r="AA47" s="39"/>
      <c r="AB47" s="39"/>
      <c r="AC47" s="60">
        <v>107428</v>
      </c>
      <c r="AD47" s="60">
        <v>104428</v>
      </c>
      <c r="AE47" s="60">
        <v>98694</v>
      </c>
      <c r="AF47" s="44">
        <f t="shared" si="15"/>
        <v>20761</v>
      </c>
      <c r="AG47" s="44">
        <f t="shared" si="8"/>
        <v>-8734</v>
      </c>
      <c r="AH47" s="39"/>
      <c r="AI47" s="56">
        <f t="shared" si="9"/>
        <v>-17067.953420058242</v>
      </c>
      <c r="AJ47" s="56">
        <f t="shared" si="10"/>
        <v>-17067.953420058242</v>
      </c>
      <c r="AK47" s="56">
        <f t="shared" si="11"/>
        <v>-1746.953420058242</v>
      </c>
      <c r="AL47" s="56">
        <f t="shared" si="12"/>
        <v>-1746.953420058242</v>
      </c>
      <c r="AN47" s="55"/>
    </row>
    <row r="48" spans="1:50" x14ac:dyDescent="0.25">
      <c r="A48" s="57" t="s">
        <v>92</v>
      </c>
      <c r="B48" s="57"/>
      <c r="C48" s="42">
        <f>'[1]Health Vote 2015-16'!AD49</f>
        <v>172130</v>
      </c>
      <c r="D48" s="33"/>
      <c r="E48" s="33"/>
      <c r="F48" s="33"/>
      <c r="G48" s="33"/>
      <c r="H48" s="33"/>
      <c r="I48" s="33"/>
      <c r="J48" s="33">
        <f>_LCI16</f>
        <v>1.7999999999999999E-2</v>
      </c>
      <c r="K48" s="33">
        <f t="shared" si="2"/>
        <v>0.62516534441323957</v>
      </c>
      <c r="L48" s="33"/>
      <c r="M48" s="33">
        <f t="shared" si="3"/>
        <v>0.37483465558676043</v>
      </c>
      <c r="N48" s="33">
        <f t="shared" si="4"/>
        <v>1.6E-2</v>
      </c>
      <c r="O48" s="33">
        <f t="shared" si="16"/>
        <v>2.5745145925983402E-2</v>
      </c>
      <c r="P48" s="33">
        <f t="shared" si="5"/>
        <v>0</v>
      </c>
      <c r="Q48" s="33">
        <f t="shared" si="6"/>
        <v>0</v>
      </c>
      <c r="R48" s="33"/>
      <c r="S48" s="33"/>
      <c r="T48" s="33"/>
      <c r="U48" s="38">
        <f t="shared" si="7"/>
        <v>4.3439588895665349E-2</v>
      </c>
      <c r="V48" s="39"/>
      <c r="W48" s="42">
        <f t="shared" si="13"/>
        <v>14329</v>
      </c>
      <c r="X48" s="42">
        <f t="shared" si="14"/>
        <v>0</v>
      </c>
      <c r="Y48" s="42"/>
      <c r="Z48" s="39"/>
      <c r="AA48" s="39"/>
      <c r="AB48" s="39"/>
      <c r="AC48" s="60">
        <v>179974</v>
      </c>
      <c r="AD48" s="60">
        <v>179974</v>
      </c>
      <c r="AE48" s="60">
        <v>186019</v>
      </c>
      <c r="AF48" s="44">
        <f t="shared" si="15"/>
        <v>13889</v>
      </c>
      <c r="AG48" s="44">
        <f t="shared" si="8"/>
        <v>6045</v>
      </c>
      <c r="AH48" s="39"/>
      <c r="AI48" s="56">
        <f t="shared" si="9"/>
        <v>-6411.7435633891146</v>
      </c>
      <c r="AJ48" s="56">
        <f t="shared" si="10"/>
        <v>7917.2564366108854</v>
      </c>
      <c r="AK48" s="56">
        <f t="shared" si="11"/>
        <v>7917.2564366108854</v>
      </c>
      <c r="AL48" s="56">
        <f t="shared" si="12"/>
        <v>7917.2564366108854</v>
      </c>
      <c r="AN48" s="55"/>
    </row>
    <row r="49" spans="1:40" x14ac:dyDescent="0.25">
      <c r="A49" s="57" t="s">
        <v>93</v>
      </c>
      <c r="B49" s="57"/>
      <c r="C49" s="42">
        <f>'[1]Health Vote 2015-16'!AD50</f>
        <v>17130</v>
      </c>
      <c r="D49" s="33"/>
      <c r="E49" s="33"/>
      <c r="F49" s="33"/>
      <c r="G49" s="33"/>
      <c r="H49" s="33"/>
      <c r="I49" s="33"/>
      <c r="J49" s="33">
        <f>_LCI16</f>
        <v>1.7999999999999999E-2</v>
      </c>
      <c r="K49" s="33">
        <f t="shared" si="2"/>
        <v>0.62516534441323957</v>
      </c>
      <c r="L49" s="33"/>
      <c r="M49" s="33">
        <f t="shared" si="3"/>
        <v>0.37483465558676043</v>
      </c>
      <c r="N49" s="33">
        <f t="shared" si="4"/>
        <v>1.6E-2</v>
      </c>
      <c r="O49" s="33">
        <f t="shared" si="16"/>
        <v>2.5745145925983402E-2</v>
      </c>
      <c r="P49" s="33">
        <f t="shared" si="5"/>
        <v>0</v>
      </c>
      <c r="Q49" s="33">
        <f t="shared" si="6"/>
        <v>0</v>
      </c>
      <c r="R49" s="33"/>
      <c r="S49" s="33"/>
      <c r="T49" s="33"/>
      <c r="U49" s="38">
        <f t="shared" si="7"/>
        <v>4.3439588895665349E-2</v>
      </c>
      <c r="V49" s="39"/>
      <c r="W49" s="42">
        <f t="shared" si="13"/>
        <v>0</v>
      </c>
      <c r="X49" s="42">
        <f t="shared" si="14"/>
        <v>0</v>
      </c>
      <c r="Y49" s="42"/>
      <c r="Z49" s="39"/>
      <c r="AA49" s="39"/>
      <c r="AB49" s="39"/>
      <c r="AC49" s="60">
        <v>20630</v>
      </c>
      <c r="AD49" s="60">
        <v>17630</v>
      </c>
      <c r="AE49" s="60">
        <v>17440</v>
      </c>
      <c r="AF49" s="44">
        <f t="shared" si="15"/>
        <v>310</v>
      </c>
      <c r="AG49" s="44">
        <f t="shared" si="8"/>
        <v>-3190</v>
      </c>
      <c r="AH49" s="39"/>
      <c r="AI49" s="56">
        <f t="shared" si="9"/>
        <v>434.12015778274872</v>
      </c>
      <c r="AJ49" s="56">
        <f t="shared" si="10"/>
        <v>434.12015778274872</v>
      </c>
      <c r="AK49" s="56">
        <f t="shared" si="11"/>
        <v>434.12015778274872</v>
      </c>
      <c r="AL49" s="56">
        <f t="shared" si="12"/>
        <v>434.12015778274872</v>
      </c>
      <c r="AN49" s="55"/>
    </row>
    <row r="50" spans="1:40" x14ac:dyDescent="0.25">
      <c r="A50" s="82" t="s">
        <v>94</v>
      </c>
      <c r="B50" s="82"/>
      <c r="C50" s="64">
        <f>'[1]Health Vote 2015-16'!AD51</f>
        <v>427491</v>
      </c>
      <c r="D50" s="83"/>
      <c r="E50" s="83"/>
      <c r="F50" s="83"/>
      <c r="G50" s="83"/>
      <c r="H50" s="83"/>
      <c r="I50" s="83"/>
      <c r="J50" s="83">
        <f>DHBProviderWageIncrease16</f>
        <v>2.4156418276994194E-2</v>
      </c>
      <c r="K50" s="83">
        <f t="shared" si="2"/>
        <v>0.62516534441323957</v>
      </c>
      <c r="L50" s="83"/>
      <c r="M50" s="83">
        <f t="shared" si="3"/>
        <v>0.37483465558676043</v>
      </c>
      <c r="N50" s="83">
        <f t="shared" si="4"/>
        <v>1.6E-2</v>
      </c>
      <c r="O50" s="83">
        <f t="shared" si="16"/>
        <v>2.5745145925983402E-2</v>
      </c>
      <c r="P50" s="83">
        <f t="shared" si="5"/>
        <v>0</v>
      </c>
      <c r="Q50" s="83">
        <f t="shared" si="6"/>
        <v>0</v>
      </c>
      <c r="R50" s="83"/>
      <c r="S50" s="83"/>
      <c r="T50" s="83"/>
      <c r="U50" s="84">
        <f t="shared" si="7"/>
        <v>4.7387455634221087E-2</v>
      </c>
      <c r="V50" s="85"/>
      <c r="W50" s="64">
        <f t="shared" si="13"/>
        <v>9456</v>
      </c>
      <c r="X50" s="42">
        <f t="shared" si="14"/>
        <v>-17630</v>
      </c>
      <c r="Y50" s="64"/>
      <c r="Z50" s="85"/>
      <c r="AA50" s="85"/>
      <c r="AB50" s="61"/>
      <c r="AC50" s="66">
        <v>376602</v>
      </c>
      <c r="AD50" s="66">
        <v>374602</v>
      </c>
      <c r="AE50" s="66">
        <v>400644</v>
      </c>
      <c r="AF50" s="67">
        <f t="shared" si="15"/>
        <v>-26847</v>
      </c>
      <c r="AG50" s="67">
        <f t="shared" si="8"/>
        <v>24042</v>
      </c>
      <c r="AH50" s="61"/>
      <c r="AI50" s="86">
        <f t="shared" si="9"/>
        <v>47104.710796528787</v>
      </c>
      <c r="AJ50" s="86">
        <f t="shared" si="10"/>
        <v>56560.710796528787</v>
      </c>
      <c r="AK50" s="86">
        <f t="shared" si="11"/>
        <v>38930.710796528787</v>
      </c>
      <c r="AL50" s="86">
        <f t="shared" si="12"/>
        <v>38930.710796528787</v>
      </c>
      <c r="AN50" s="55"/>
    </row>
    <row r="51" spans="1:40" x14ac:dyDescent="0.25">
      <c r="A51" s="87" t="s">
        <v>95</v>
      </c>
      <c r="C51" s="37">
        <f>SUM(C35:C50)</f>
        <v>2824540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88">
        <f t="array" ref="U51">SUM(C35:C50*U35:U50)/SUM(C35:C50)</f>
        <v>4.7305672596880378E-2</v>
      </c>
      <c r="V51" s="39"/>
      <c r="W51" s="45">
        <f t="shared" si="13"/>
        <v>56158</v>
      </c>
      <c r="X51" s="47">
        <f t="shared" si="14"/>
        <v>-44845</v>
      </c>
      <c r="Y51" s="37">
        <f t="array" ref="Y51">SUM(C35:C50*(1+U35:U50))+W51+X51</f>
        <v>2969469.7644767924</v>
      </c>
      <c r="AA51" s="70">
        <f>Y51-C51</f>
        <v>144929.76447679242</v>
      </c>
      <c r="AB51" s="37"/>
      <c r="AC51" s="89">
        <f>SUM(AC35:AC50)</f>
        <v>2802197</v>
      </c>
      <c r="AD51" s="89">
        <f>SUM(AD35:AD50)</f>
        <v>2790697</v>
      </c>
      <c r="AE51" s="89">
        <f>SUM(AE35:AE50)</f>
        <v>2879536</v>
      </c>
      <c r="AF51" s="89">
        <f>SUM(AF35:AF50)</f>
        <v>54996</v>
      </c>
      <c r="AG51" s="89">
        <f>SUM(AG35:AG50)</f>
        <v>77339</v>
      </c>
      <c r="AH51" s="37"/>
      <c r="AI51" s="45">
        <f>Y51-W51-AE51-X51</f>
        <v>78620.764476792421</v>
      </c>
      <c r="AJ51" s="46">
        <f t="shared" si="10"/>
        <v>134975.76447679242</v>
      </c>
      <c r="AK51" s="46">
        <f t="shared" si="11"/>
        <v>90130.764476792421</v>
      </c>
      <c r="AL51" s="47">
        <f t="shared" si="12"/>
        <v>89933.764476792421</v>
      </c>
    </row>
    <row r="52" spans="1:40" x14ac:dyDescent="0.25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83"/>
      <c r="V52" s="90" t="s">
        <v>52</v>
      </c>
      <c r="W52" s="17"/>
      <c r="X52" s="17"/>
      <c r="Y52" s="91">
        <f>Y51-W51-X51</f>
        <v>2958156.7644767924</v>
      </c>
      <c r="Z52" s="92" t="s">
        <v>53</v>
      </c>
      <c r="AA52" s="93">
        <f>AA51/C51</f>
        <v>5.1310926549736388E-2</v>
      </c>
      <c r="AB52" s="12"/>
      <c r="AC52" s="94">
        <f>AC51-$C51</f>
        <v>-22343</v>
      </c>
      <c r="AD52" s="94">
        <f>AD51-$C51</f>
        <v>-33843</v>
      </c>
      <c r="AE52" s="95" t="s">
        <v>54</v>
      </c>
      <c r="AF52" s="94">
        <f>AA51-AF51</f>
        <v>89933.764476792421</v>
      </c>
      <c r="AG52" s="94">
        <f>$AA51-AG51</f>
        <v>67590.764476792421</v>
      </c>
      <c r="AH52" s="55"/>
      <c r="AI52" s="86"/>
      <c r="AJ52" s="96"/>
      <c r="AK52" s="17"/>
      <c r="AL52" s="86"/>
    </row>
    <row r="53" spans="1:40" x14ac:dyDescent="0.25">
      <c r="A53" s="97" t="s">
        <v>96</v>
      </c>
      <c r="B53" s="97"/>
      <c r="C53" s="98">
        <f>C51+C32</f>
        <v>14544367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88">
        <f t="array" ref="U53">SUM(C32:C50*U32:U50)/SUM(C32:C50)</f>
        <v>4.7126593436977483E-2</v>
      </c>
      <c r="W53" s="65">
        <f>W51+W32</f>
        <v>111638</v>
      </c>
      <c r="X53" s="65"/>
      <c r="Y53" s="37">
        <f>Y32+Y51</f>
        <v>15341431.470407192</v>
      </c>
      <c r="Z53" s="37">
        <f>C53*(1+U53)+W53</f>
        <v>15341431.470407194</v>
      </c>
      <c r="AA53" s="37">
        <f>Z53-C53</f>
        <v>797064.47040719353</v>
      </c>
      <c r="AB53" s="37"/>
      <c r="AC53" s="44">
        <f>AC32+AC51</f>
        <v>14600044</v>
      </c>
      <c r="AD53" s="44">
        <f>AD32+AD51</f>
        <v>14588544</v>
      </c>
      <c r="AE53" s="44">
        <f>AE51+AE32</f>
        <v>15099451</v>
      </c>
      <c r="AF53" s="44">
        <f>AE53-C53</f>
        <v>555084</v>
      </c>
      <c r="AG53" s="44">
        <f>AE53-AC53</f>
        <v>499407</v>
      </c>
      <c r="AH53" s="37"/>
      <c r="AI53" s="56">
        <f>AI32+AI51</f>
        <v>130342.4704071912</v>
      </c>
      <c r="AJ53" s="56">
        <f>AJ32+AJ51</f>
        <v>242177.4704071912</v>
      </c>
      <c r="AK53" s="56">
        <f>AK32+AK51</f>
        <v>242177.4704071912</v>
      </c>
      <c r="AL53" s="56">
        <f>AL32+AL51</f>
        <v>241980.4704071912</v>
      </c>
    </row>
    <row r="54" spans="1:40" x14ac:dyDescent="0.25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Z54" s="73"/>
      <c r="AA54" s="55"/>
      <c r="AB54" s="12"/>
      <c r="AC54" s="99">
        <f>AC53-$C53</f>
        <v>55677</v>
      </c>
      <c r="AD54" s="99">
        <f>AD53-$C53</f>
        <v>44177</v>
      </c>
      <c r="AE54" s="54" t="s">
        <v>54</v>
      </c>
      <c r="AF54" s="53">
        <f>AA53-AF53</f>
        <v>241980.47040719353</v>
      </c>
      <c r="AG54" s="53">
        <f>$AA53-AG53</f>
        <v>297657.47040719353</v>
      </c>
      <c r="AH54" s="55"/>
      <c r="AI54" s="34"/>
      <c r="AJ54" s="34"/>
      <c r="AK54" s="34"/>
    </row>
    <row r="55" spans="1:40" x14ac:dyDescent="0.25">
      <c r="A55" s="9" t="s">
        <v>97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Z55" s="37"/>
      <c r="AA55" s="55"/>
      <c r="AB55" s="55"/>
      <c r="AC55" s="34"/>
      <c r="AD55" s="34"/>
      <c r="AE55" s="56"/>
      <c r="AF55" s="56"/>
      <c r="AG55" s="56"/>
      <c r="AH55" s="55"/>
      <c r="AI55" s="34"/>
      <c r="AJ55" s="34"/>
      <c r="AK55" s="34"/>
    </row>
    <row r="56" spans="1:40" x14ac:dyDescent="0.25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8"/>
      <c r="AA56" s="55"/>
      <c r="AB56" s="55"/>
      <c r="AC56" s="24"/>
      <c r="AD56" s="24"/>
      <c r="AE56" s="24"/>
      <c r="AF56" s="56"/>
      <c r="AG56" s="34"/>
      <c r="AH56" s="100"/>
      <c r="AI56" s="34"/>
      <c r="AJ56" s="34"/>
      <c r="AK56" s="34"/>
    </row>
    <row r="57" spans="1:40" x14ac:dyDescent="0.25">
      <c r="A57" s="97" t="s">
        <v>98</v>
      </c>
      <c r="B57" s="97"/>
      <c r="C57" s="98">
        <f>SUM(C54:C56)</f>
        <v>0</v>
      </c>
      <c r="D57" s="98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88">
        <f>IFERROR(SUM(C56*U56)/SUM(C56),U56)</f>
        <v>0</v>
      </c>
      <c r="Y57" s="37">
        <f t="array" ref="Y57">SUM(C54:C56*(1+U54:U56))</f>
        <v>0</v>
      </c>
      <c r="Z57" s="37">
        <f>Y57</f>
        <v>0</v>
      </c>
      <c r="AA57" s="37">
        <f>Y57-C57</f>
        <v>0</v>
      </c>
      <c r="AB57" s="37"/>
      <c r="AC57" s="44"/>
      <c r="AD57" s="44"/>
      <c r="AE57" s="44"/>
      <c r="AF57" s="44"/>
      <c r="AG57" s="44"/>
      <c r="AH57" s="89"/>
      <c r="AI57" s="34"/>
      <c r="AJ57" s="34"/>
      <c r="AK57" s="34"/>
    </row>
    <row r="58" spans="1:40" x14ac:dyDescent="0.25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AA58" s="55"/>
      <c r="AB58" s="55"/>
      <c r="AC58" s="34"/>
      <c r="AD58" s="34"/>
      <c r="AE58" s="34"/>
      <c r="AF58" s="34"/>
      <c r="AG58" s="34"/>
      <c r="AH58" s="100"/>
      <c r="AI58" s="34"/>
      <c r="AJ58" s="34"/>
      <c r="AK58" s="34"/>
    </row>
    <row r="59" spans="1:40" x14ac:dyDescent="0.25">
      <c r="A59" s="9" t="s">
        <v>99</v>
      </c>
      <c r="B59" s="9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AC59" s="34"/>
      <c r="AD59" s="34"/>
      <c r="AE59" s="34"/>
      <c r="AF59" s="34"/>
      <c r="AG59" s="34"/>
      <c r="AH59" s="24"/>
      <c r="AI59" s="34"/>
      <c r="AJ59" s="34"/>
      <c r="AK59" s="34"/>
    </row>
    <row r="60" spans="1:40" x14ac:dyDescent="0.25">
      <c r="A60" t="s">
        <v>100</v>
      </c>
      <c r="C60" s="42">
        <f>'[1]Health Vote 2015-16'!AD61</f>
        <v>2030</v>
      </c>
      <c r="D60" s="33"/>
      <c r="E60" s="33"/>
      <c r="F60" s="33"/>
      <c r="G60" s="33"/>
      <c r="H60" s="33"/>
      <c r="I60" s="33"/>
      <c r="J60" s="33"/>
      <c r="K60" s="33"/>
      <c r="L60" s="33"/>
      <c r="M60" s="33">
        <v>1</v>
      </c>
      <c r="N60" s="33">
        <f>NonLabourGeneralCostIncreases16</f>
        <v>1.6E-2</v>
      </c>
      <c r="O60" s="33"/>
      <c r="P60" s="33"/>
      <c r="Q60" s="33"/>
      <c r="R60" s="33"/>
      <c r="S60" s="33"/>
      <c r="T60" s="33"/>
      <c r="U60" s="38">
        <f>((1+D60)*E60+(1+F60)*G60+(1+H60)*I60+(1+J60)*K60+(1+L60+N60)*M60)*(1+O60)*(1+P60)*(1-Q60)+R60*(1+S60)-1</f>
        <v>1.6000000000000014E-2</v>
      </c>
      <c r="V60" s="39"/>
      <c r="W60" s="39"/>
      <c r="X60" s="39"/>
      <c r="Y60" s="42">
        <f>C60*(1+U60)</f>
        <v>2062.48</v>
      </c>
      <c r="Z60" s="39"/>
      <c r="AA60" s="39"/>
      <c r="AB60" s="39"/>
      <c r="AC60" s="60">
        <v>1650</v>
      </c>
      <c r="AD60" s="60">
        <v>1650</v>
      </c>
      <c r="AE60" s="60">
        <v>2030</v>
      </c>
      <c r="AF60" s="58">
        <f>AE60-C60</f>
        <v>0</v>
      </c>
      <c r="AG60" s="58">
        <f>AE60-AC60</f>
        <v>380</v>
      </c>
      <c r="AH60" s="81"/>
      <c r="AI60" s="56"/>
      <c r="AJ60" s="56"/>
      <c r="AK60" s="56"/>
    </row>
    <row r="61" spans="1:40" x14ac:dyDescent="0.25">
      <c r="A61" t="s">
        <v>101</v>
      </c>
      <c r="C61" s="42">
        <f>'[1]Health Vote 2015-16'!AD62</f>
        <v>1028</v>
      </c>
      <c r="D61" s="33"/>
      <c r="E61" s="33"/>
      <c r="F61" s="33"/>
      <c r="G61" s="33"/>
      <c r="H61" s="33"/>
      <c r="I61" s="33"/>
      <c r="J61" s="33">
        <f>_LCI16</f>
        <v>1.7999999999999999E-2</v>
      </c>
      <c r="K61" s="33">
        <f>LabourProportion16</f>
        <v>0.62516534441323957</v>
      </c>
      <c r="L61" s="33"/>
      <c r="M61" s="33">
        <f>NonLabourProportion16</f>
        <v>0.37483465558676043</v>
      </c>
      <c r="N61" s="33">
        <f>NonLabourGeneralCostIncreases16</f>
        <v>1.6E-2</v>
      </c>
      <c r="O61" s="33"/>
      <c r="P61" s="33"/>
      <c r="Q61" s="33">
        <f>ProductivityGrowth16</f>
        <v>0</v>
      </c>
      <c r="R61" s="33"/>
      <c r="S61" s="33"/>
      <c r="T61" s="33"/>
      <c r="U61" s="38">
        <f>((1+D61)*E61+(1+F61)*G61+(1+H61)*I61+(1+J61)*K61+(1+L61+N61)*M61)*(1+O61)*(1+P61)*(1-Q61)+R61*(1+S61)-1</f>
        <v>1.7250330688826532E-2</v>
      </c>
      <c r="V61" s="39"/>
      <c r="W61" s="39"/>
      <c r="X61" s="39"/>
      <c r="Y61" s="42">
        <f>C61*(1+U61)</f>
        <v>1045.7333399481138</v>
      </c>
      <c r="Z61" s="39"/>
      <c r="AA61" s="39"/>
      <c r="AB61" s="39"/>
      <c r="AC61" s="60">
        <v>1028</v>
      </c>
      <c r="AD61" s="60">
        <v>1028</v>
      </c>
      <c r="AE61" s="60">
        <v>1028</v>
      </c>
      <c r="AF61" s="58">
        <f>AE61-C61</f>
        <v>0</v>
      </c>
      <c r="AG61" s="58">
        <f>AE61-AC61</f>
        <v>0</v>
      </c>
      <c r="AH61" s="81"/>
      <c r="AI61" s="56"/>
      <c r="AJ61" s="56"/>
      <c r="AK61" s="56"/>
    </row>
    <row r="62" spans="1:40" x14ac:dyDescent="0.25">
      <c r="A62" t="s">
        <v>102</v>
      </c>
      <c r="C62" s="64">
        <f>'[1]Health Vote 2015-16'!AD63</f>
        <v>25414</v>
      </c>
      <c r="D62" s="33"/>
      <c r="E62" s="33"/>
      <c r="F62" s="33"/>
      <c r="G62" s="33"/>
      <c r="H62" s="33"/>
      <c r="I62" s="33"/>
      <c r="J62" s="33">
        <f>_LCI16</f>
        <v>1.7999999999999999E-2</v>
      </c>
      <c r="K62" s="33">
        <f>LabourProportion16</f>
        <v>0.62516534441323957</v>
      </c>
      <c r="L62" s="33"/>
      <c r="M62" s="33">
        <f>NonLabourProportion16</f>
        <v>0.37483465558676043</v>
      </c>
      <c r="N62" s="33">
        <f>NonLabourGeneralCostIncreases16</f>
        <v>1.6E-2</v>
      </c>
      <c r="O62" s="33"/>
      <c r="P62" s="33"/>
      <c r="Q62" s="33">
        <f>ProductivityGrowth16</f>
        <v>0</v>
      </c>
      <c r="R62" s="33"/>
      <c r="S62" s="33"/>
      <c r="T62" s="33"/>
      <c r="U62" s="38">
        <f>((1+D62)*E62+(1+F62)*G62+(1+H62)*I62+(1+J62)*K62+(1+L62+N62)*M62)*(1+O62)*(1+P62)*(1-Q62)+R62*(1+S62)-1</f>
        <v>1.7250330688826532E-2</v>
      </c>
      <c r="V62" s="39"/>
      <c r="W62" s="39"/>
      <c r="X62" s="39"/>
      <c r="Y62" s="42">
        <f>C62*(1+U62)</f>
        <v>25852.399904125836</v>
      </c>
      <c r="Z62" s="39"/>
      <c r="AA62" s="39"/>
      <c r="AB62" s="39"/>
      <c r="AC62" s="66">
        <v>22975</v>
      </c>
      <c r="AD62" s="66">
        <v>22975</v>
      </c>
      <c r="AE62" s="66">
        <v>25414</v>
      </c>
      <c r="AF62" s="101">
        <f>AE62-C62</f>
        <v>0</v>
      </c>
      <c r="AG62" s="101">
        <f>AE62-AC62</f>
        <v>2439</v>
      </c>
      <c r="AH62" s="81"/>
      <c r="AI62" s="86"/>
      <c r="AJ62" s="86"/>
      <c r="AK62" s="86"/>
      <c r="AL62" s="17"/>
    </row>
    <row r="63" spans="1:40" x14ac:dyDescent="0.25">
      <c r="A63" s="97" t="s">
        <v>103</v>
      </c>
      <c r="B63" s="97"/>
      <c r="C63" s="98">
        <f>SUM(C60:C62)</f>
        <v>28472</v>
      </c>
      <c r="D63" s="98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88">
        <f t="array" ref="U63">SUM(C60:C62*U60:U62)/SUM(C60:C62)</f>
        <v>1.7161184464524835E-2</v>
      </c>
      <c r="W63">
        <v>0</v>
      </c>
      <c r="Y63" s="37">
        <f t="array" ref="Y63">SUM(C60:C62*(1+U60:U62))</f>
        <v>28960.613244073949</v>
      </c>
      <c r="Z63" s="37">
        <f>Y63</f>
        <v>28960.613244073949</v>
      </c>
      <c r="AA63" s="37">
        <f>Y63-C63</f>
        <v>488.61324407394932</v>
      </c>
      <c r="AB63" s="37"/>
      <c r="AC63" s="44">
        <f>SUM(AC60:AC62)</f>
        <v>25653</v>
      </c>
      <c r="AD63" s="44">
        <f>SUM(AD60:AD62)</f>
        <v>25653</v>
      </c>
      <c r="AE63" s="44">
        <f>SUM(AE60:AE62)</f>
        <v>28472</v>
      </c>
      <c r="AF63" s="44">
        <f>AE63-C63</f>
        <v>0</v>
      </c>
      <c r="AG63" s="44">
        <f>AE63-AC63</f>
        <v>2819</v>
      </c>
      <c r="AH63" s="89"/>
      <c r="AI63" s="56">
        <f>C63*(1+U63)-AE63</f>
        <v>488.61324407394932</v>
      </c>
      <c r="AJ63" s="56">
        <f>AI63+E114</f>
        <v>488.61324407394932</v>
      </c>
      <c r="AK63" s="56">
        <f>AJ63+G114</f>
        <v>488.61324407394932</v>
      </c>
      <c r="AL63" s="56">
        <f>AK63+I114</f>
        <v>488.61324407394932</v>
      </c>
    </row>
    <row r="64" spans="1:40" x14ac:dyDescent="0.25">
      <c r="A64" s="102"/>
      <c r="B64" s="102"/>
      <c r="C64" s="65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Z64" s="73"/>
      <c r="AA64" s="55"/>
      <c r="AB64" s="12"/>
      <c r="AC64" s="94">
        <f>AC63-$C63</f>
        <v>-2819</v>
      </c>
      <c r="AD64" s="94">
        <f>AD63-$C63</f>
        <v>-2819</v>
      </c>
      <c r="AE64" s="54" t="s">
        <v>54</v>
      </c>
      <c r="AF64" s="53">
        <f>AA63-AF63</f>
        <v>488.61324407394932</v>
      </c>
      <c r="AG64" s="53">
        <f>$AA63-AG63</f>
        <v>-2330.3867559260507</v>
      </c>
      <c r="AH64" s="100"/>
      <c r="AI64" s="34"/>
      <c r="AJ64" s="34"/>
      <c r="AL64" s="34"/>
    </row>
    <row r="65" spans="1:42" x14ac:dyDescent="0.25">
      <c r="A65" s="103" t="s">
        <v>104</v>
      </c>
      <c r="B65" s="103"/>
      <c r="C65" s="104">
        <f>C63+C57+C53+C8</f>
        <v>14765271</v>
      </c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6">
        <f>(C8*U8+C53*U53+C57*U57+C63*U63)/(C8+C53+C63)</f>
        <v>4.6679441189151093E-2</v>
      </c>
      <c r="V65" s="107"/>
      <c r="W65" s="45">
        <f>W63+W53+W57+W8</f>
        <v>117083</v>
      </c>
      <c r="X65" s="47">
        <f>X63+X53+X57+X8</f>
        <v>0</v>
      </c>
      <c r="Y65" s="104">
        <f>Y63+Y53+Y57+Y8</f>
        <v>15571588.599286377</v>
      </c>
      <c r="Z65" s="104">
        <f>Z63+Z53+Z57+Z8</f>
        <v>15571588.599286379</v>
      </c>
      <c r="AA65" s="70">
        <f>AA63+AA53+AA57+AA8</f>
        <v>806317.59928637976</v>
      </c>
      <c r="AB65" s="65"/>
      <c r="AC65" s="108">
        <f>AC63+AC57+AC53+AC8</f>
        <v>14818150</v>
      </c>
      <c r="AD65" s="108">
        <f>AD63+AD57+AD53+AD8</f>
        <v>14806650</v>
      </c>
      <c r="AE65" s="108">
        <f>AE63+AE57+AE53+AE8</f>
        <v>15323600</v>
      </c>
      <c r="AF65" s="108">
        <f>AE65-C65</f>
        <v>558329</v>
      </c>
      <c r="AG65" s="108">
        <f>AE65-AC65</f>
        <v>505450</v>
      </c>
      <c r="AH65" s="44"/>
      <c r="AI65" s="45">
        <f>AI8+AI53+AI63</f>
        <v>130905.59928637742</v>
      </c>
      <c r="AJ65" s="46">
        <f>AJ8+AJ53+AJ63</f>
        <v>248185.59928637743</v>
      </c>
      <c r="AK65" s="46">
        <f>AK8+AK53+AK63</f>
        <v>248185.59928637743</v>
      </c>
      <c r="AL65" s="47">
        <f>AL8+AL53+AL63</f>
        <v>247988.59928637743</v>
      </c>
    </row>
    <row r="66" spans="1:42" x14ac:dyDescent="0.25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109"/>
      <c r="V66" s="71" t="s">
        <v>52</v>
      </c>
      <c r="Y66" s="72">
        <f>Y65-W65-X65</f>
        <v>15454505.599286377</v>
      </c>
      <c r="Z66" s="73" t="s">
        <v>53</v>
      </c>
      <c r="AA66" s="74">
        <f>AA65/C65</f>
        <v>5.4609061986493831E-2</v>
      </c>
      <c r="AB66" s="12"/>
      <c r="AC66" s="53">
        <f>$C65-AC65</f>
        <v>-52879</v>
      </c>
      <c r="AD66" s="53">
        <f>$C65-AD65</f>
        <v>-41379</v>
      </c>
      <c r="AE66" s="54" t="s">
        <v>54</v>
      </c>
      <c r="AF66" s="53">
        <f>AA65-AF65</f>
        <v>247988.59928637976</v>
      </c>
      <c r="AG66" s="53">
        <f>$AA65-AG65</f>
        <v>300867.59928637976</v>
      </c>
      <c r="AH66" s="34"/>
      <c r="AI66" s="56"/>
      <c r="AJ66" s="34"/>
      <c r="AK66" s="34"/>
      <c r="AL66" s="12"/>
    </row>
    <row r="67" spans="1:42" x14ac:dyDescent="0.25">
      <c r="A67" s="9" t="s">
        <v>105</v>
      </c>
      <c r="B67" s="9"/>
      <c r="C67" s="55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76" t="s">
        <v>53</v>
      </c>
      <c r="W67" s="1"/>
      <c r="X67" s="1"/>
      <c r="Y67" s="72">
        <f>Y66-C65</f>
        <v>689234.59928637743</v>
      </c>
      <c r="Z67" s="72"/>
      <c r="AA67" s="72"/>
      <c r="AB67" s="72"/>
      <c r="AC67" s="34"/>
      <c r="AD67" s="34"/>
      <c r="AE67" s="56"/>
      <c r="AF67" s="56"/>
      <c r="AG67" s="34"/>
      <c r="AH67" s="53"/>
      <c r="AI67" s="34"/>
      <c r="AJ67" s="34"/>
      <c r="AK67" s="34"/>
      <c r="AL67" s="12"/>
    </row>
    <row r="68" spans="1:42" x14ac:dyDescent="0.25">
      <c r="A68" t="s">
        <v>106</v>
      </c>
      <c r="C68" s="64">
        <f>'[1]Health Vote 2015-16'!AD69</f>
        <v>15010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83">
        <f>CapitalGoodsProportion16</f>
        <v>1</v>
      </c>
      <c r="S68" s="83">
        <f>CapitalPI16</f>
        <v>3.1E-2</v>
      </c>
      <c r="T68" s="83"/>
      <c r="U68" s="83">
        <f>((1+D68)*E68+(1+F68)*G68+(1+H68)*I68+(1+L68+N68)*M68)*(1+O68)*(1+P68)+R68*(1+S68)-1</f>
        <v>3.0999999999999917E-2</v>
      </c>
      <c r="V68" s="17"/>
      <c r="W68" s="17"/>
      <c r="X68" s="17"/>
      <c r="Y68" s="64">
        <f>C68*(1+U68)</f>
        <v>15475.31</v>
      </c>
      <c r="Z68" s="17"/>
      <c r="AA68" s="17"/>
      <c r="AC68" s="66">
        <v>16291</v>
      </c>
      <c r="AD68" s="66">
        <v>16291</v>
      </c>
      <c r="AE68" s="66">
        <v>15010</v>
      </c>
      <c r="AF68" s="58">
        <f>AE68-C68</f>
        <v>0</v>
      </c>
      <c r="AG68" s="58">
        <f>AE68-AC68</f>
        <v>-1281</v>
      </c>
      <c r="AI68" s="12"/>
      <c r="AJ68" s="110"/>
      <c r="AK68" s="12"/>
      <c r="AL68" s="12"/>
    </row>
    <row r="69" spans="1:42" x14ac:dyDescent="0.25">
      <c r="A69" s="97" t="s">
        <v>107</v>
      </c>
      <c r="B69" s="97"/>
      <c r="C69" s="98">
        <f>SUM(C68)</f>
        <v>15010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Y69" s="37">
        <f t="array" ref="Y69">SUM(C68*(1+U68))</f>
        <v>15475.31</v>
      </c>
      <c r="AA69" s="37">
        <f>Y69-C69</f>
        <v>465.30999999999949</v>
      </c>
      <c r="AB69" s="37"/>
      <c r="AC69" s="111">
        <f>SUM(AC68)</f>
        <v>16291</v>
      </c>
      <c r="AD69" s="111">
        <f>SUM(AD68)</f>
        <v>16291</v>
      </c>
      <c r="AE69" s="111">
        <v>15010</v>
      </c>
      <c r="AF69" s="111">
        <f>AE69-C69</f>
        <v>0</v>
      </c>
      <c r="AG69" s="111">
        <f>AE69-AC69</f>
        <v>-1281</v>
      </c>
      <c r="AH69" s="37"/>
      <c r="AI69" s="12"/>
      <c r="AJ69" s="110"/>
      <c r="AK69" s="12"/>
      <c r="AL69" s="12"/>
    </row>
    <row r="70" spans="1:42" x14ac:dyDescent="0.25">
      <c r="C70" s="55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Z70" s="73"/>
      <c r="AA70" s="55"/>
      <c r="AB70" s="12"/>
      <c r="AC70" s="53">
        <f>$C69-AC69</f>
        <v>-1281</v>
      </c>
      <c r="AD70" s="53">
        <f>$C69-AD69</f>
        <v>-1281</v>
      </c>
      <c r="AE70" s="54" t="s">
        <v>54</v>
      </c>
      <c r="AF70" s="53">
        <f>AA69-AF69</f>
        <v>465.30999999999949</v>
      </c>
      <c r="AG70" s="53">
        <f>$AA69-AG69</f>
        <v>1746.3099999999995</v>
      </c>
      <c r="AH70" s="55"/>
      <c r="AI70" s="12"/>
      <c r="AJ70" s="12"/>
      <c r="AK70" s="12"/>
      <c r="AL70" s="12"/>
      <c r="AM70" s="12"/>
      <c r="AN70" s="12"/>
      <c r="AO70" s="12"/>
      <c r="AP70" s="12"/>
    </row>
    <row r="71" spans="1:42" x14ac:dyDescent="0.25">
      <c r="A71" s="9" t="s">
        <v>108</v>
      </c>
      <c r="B71" s="9"/>
      <c r="C71" s="55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AC71" s="34"/>
      <c r="AD71" s="34"/>
      <c r="AE71" s="34"/>
      <c r="AF71" s="34"/>
      <c r="AG71" s="34"/>
      <c r="AI71" s="12"/>
      <c r="AJ71" s="12"/>
      <c r="AK71" s="12"/>
      <c r="AL71" s="12"/>
      <c r="AM71" s="12"/>
      <c r="AN71" s="12"/>
      <c r="AO71" s="12"/>
      <c r="AP71" s="12"/>
    </row>
    <row r="72" spans="1:42" x14ac:dyDescent="0.25">
      <c r="A72" t="s">
        <v>109</v>
      </c>
      <c r="C72" s="42">
        <f>'[1]Health Vote 2015-16'!AD73</f>
        <v>304000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>
        <f t="shared" ref="R72:R78" si="17">CapitalGoodsProportion16</f>
        <v>1</v>
      </c>
      <c r="S72" s="33">
        <f t="shared" ref="S72:S78" si="18">CapitalPI16</f>
        <v>3.1E-2</v>
      </c>
      <c r="T72" s="33"/>
      <c r="U72" s="33">
        <f t="shared" ref="U72:U78" si="19">((1+D72)*E72+(1+F72)*G72+(1+H72)*I72+(1+L72+N72)*M72)*(1+O72)*(1+P72)+R72*(1+S72)-1</f>
        <v>3.0999999999999917E-2</v>
      </c>
      <c r="Y72" s="42">
        <f t="shared" ref="Y72:Y78" si="20">C72*(1+U72)</f>
        <v>313424</v>
      </c>
      <c r="AC72" s="56">
        <v>71949</v>
      </c>
      <c r="AD72" s="56">
        <v>71949</v>
      </c>
      <c r="AE72" s="56">
        <v>185299</v>
      </c>
      <c r="AF72" s="58">
        <f t="shared" ref="AF72:AF79" si="21">AE72-C72</f>
        <v>-118701</v>
      </c>
      <c r="AG72" s="58">
        <f>AE72-AC72</f>
        <v>113350</v>
      </c>
      <c r="AI72" s="12"/>
      <c r="AJ72" s="12"/>
      <c r="AK72" s="12"/>
      <c r="AL72" s="12"/>
      <c r="AM72" s="12"/>
      <c r="AN72" s="12"/>
      <c r="AO72" s="12"/>
      <c r="AP72" s="12"/>
    </row>
    <row r="73" spans="1:42" x14ac:dyDescent="0.25">
      <c r="A73" s="112" t="s">
        <v>110</v>
      </c>
      <c r="C73" s="42">
        <f>'[1]Health Vote 2015-16'!AD74</f>
        <v>390000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>
        <f t="shared" si="17"/>
        <v>1</v>
      </c>
      <c r="S73" s="33">
        <f t="shared" si="18"/>
        <v>3.1E-2</v>
      </c>
      <c r="T73" s="33"/>
      <c r="U73" s="33">
        <f t="shared" si="19"/>
        <v>3.0999999999999917E-2</v>
      </c>
      <c r="Y73" s="42">
        <f t="shared" si="20"/>
        <v>402089.99999999994</v>
      </c>
      <c r="AC73" s="56">
        <v>240716</v>
      </c>
      <c r="AD73" s="56">
        <v>174552</v>
      </c>
      <c r="AE73" s="56">
        <v>402397</v>
      </c>
      <c r="AF73" s="58">
        <f t="shared" si="21"/>
        <v>12397</v>
      </c>
      <c r="AG73" s="58">
        <f t="shared" ref="AG73:AG83" si="22">AE73-AC73</f>
        <v>161681</v>
      </c>
      <c r="AI73" s="12"/>
      <c r="AJ73" s="12"/>
      <c r="AK73" s="12"/>
      <c r="AL73" s="12"/>
      <c r="AM73" s="12"/>
      <c r="AN73" s="12"/>
      <c r="AO73" s="12"/>
      <c r="AP73" s="12"/>
    </row>
    <row r="74" spans="1:42" x14ac:dyDescent="0.25">
      <c r="A74" s="112" t="s">
        <v>111</v>
      </c>
      <c r="C74" s="42">
        <f>'[1]Health Vote 2015-16'!AD75</f>
        <v>200100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>
        <f t="shared" si="17"/>
        <v>1</v>
      </c>
      <c r="S74" s="33">
        <f t="shared" si="18"/>
        <v>3.1E-2</v>
      </c>
      <c r="T74" s="33"/>
      <c r="U74" s="33">
        <f>((1+D74)*E74+(1+F74)*G74+(1+H74)*I74+(1+L74+N74)*M74)*(1+O74)*(1+P74)+R74*(1+S74)-1</f>
        <v>3.0999999999999917E-2</v>
      </c>
      <c r="Y74" s="42">
        <f t="shared" si="20"/>
        <v>206303.09999999998</v>
      </c>
      <c r="AC74" s="60">
        <v>210824</v>
      </c>
      <c r="AD74" s="60">
        <v>210824</v>
      </c>
      <c r="AE74" s="60">
        <v>60500</v>
      </c>
      <c r="AF74" s="58">
        <f t="shared" si="21"/>
        <v>-139600</v>
      </c>
      <c r="AG74" s="58">
        <f t="shared" si="22"/>
        <v>-150324</v>
      </c>
      <c r="AI74" s="12"/>
      <c r="AJ74" s="12"/>
      <c r="AK74" s="12"/>
      <c r="AL74" s="12"/>
      <c r="AM74" s="12"/>
      <c r="AN74" s="12"/>
      <c r="AO74" s="12"/>
      <c r="AP74" s="12"/>
    </row>
    <row r="75" spans="1:42" x14ac:dyDescent="0.25">
      <c r="A75" t="s">
        <v>112</v>
      </c>
      <c r="C75" s="42">
        <f>'[1]Health Vote 2015-16'!AD76</f>
        <v>50000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>
        <f t="shared" si="17"/>
        <v>1</v>
      </c>
      <c r="S75" s="33">
        <f t="shared" si="18"/>
        <v>3.1E-2</v>
      </c>
      <c r="T75" s="33"/>
      <c r="U75" s="33">
        <f>((1+D75)*E75+(1+F75)*G75+(1+H75)*I75+(1+L75+N75)*M75)*(1+O75)*(1+P75)+R75*(1+S75)-1</f>
        <v>3.0999999999999917E-2</v>
      </c>
      <c r="Y75" s="42">
        <f t="shared" si="20"/>
        <v>51549.999999999993</v>
      </c>
      <c r="AC75" s="113">
        <v>50000</v>
      </c>
      <c r="AD75" s="113">
        <v>50000</v>
      </c>
      <c r="AE75" s="60">
        <v>0</v>
      </c>
      <c r="AF75" s="58">
        <f t="shared" si="21"/>
        <v>-50000</v>
      </c>
      <c r="AG75" s="58">
        <f t="shared" si="22"/>
        <v>-50000</v>
      </c>
      <c r="AI75" s="12"/>
      <c r="AJ75" s="12"/>
      <c r="AK75" s="12"/>
      <c r="AL75" s="12"/>
      <c r="AM75" s="12"/>
      <c r="AN75" s="12"/>
      <c r="AO75" s="12"/>
      <c r="AP75" s="12"/>
    </row>
    <row r="76" spans="1:42" x14ac:dyDescent="0.25">
      <c r="A76" t="s">
        <v>113</v>
      </c>
      <c r="C76" s="42">
        <f>'[1]Health Vote 2015-16'!AD77</f>
        <v>15000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>
        <f t="shared" si="17"/>
        <v>1</v>
      </c>
      <c r="S76" s="33">
        <f t="shared" si="18"/>
        <v>3.1E-2</v>
      </c>
      <c r="T76" s="33"/>
      <c r="U76" s="33">
        <f t="shared" si="19"/>
        <v>3.0999999999999917E-2</v>
      </c>
      <c r="Y76" s="42">
        <f t="shared" si="20"/>
        <v>15464.999999999998</v>
      </c>
      <c r="AC76" s="60">
        <v>15000</v>
      </c>
      <c r="AD76" s="60">
        <v>15000</v>
      </c>
      <c r="AE76" s="60">
        <v>15000</v>
      </c>
      <c r="AF76" s="58">
        <f t="shared" si="21"/>
        <v>0</v>
      </c>
      <c r="AG76" s="58">
        <f t="shared" si="22"/>
        <v>0</v>
      </c>
      <c r="AI76" s="12"/>
      <c r="AJ76" s="12"/>
      <c r="AK76" s="12"/>
      <c r="AL76" s="12"/>
      <c r="AM76" s="12"/>
      <c r="AN76" s="12"/>
      <c r="AO76" s="12"/>
      <c r="AP76" s="12"/>
    </row>
    <row r="77" spans="1:42" x14ac:dyDescent="0.25">
      <c r="A77" t="s">
        <v>114</v>
      </c>
      <c r="C77" s="42">
        <f>'[1]Health Vote 2015-16'!AD78</f>
        <v>55000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>
        <f t="shared" si="17"/>
        <v>1</v>
      </c>
      <c r="S77" s="33">
        <f t="shared" si="18"/>
        <v>3.1E-2</v>
      </c>
      <c r="T77" s="33"/>
      <c r="U77" s="33">
        <f t="shared" si="19"/>
        <v>3.0999999999999917E-2</v>
      </c>
      <c r="Y77" s="42">
        <f t="shared" si="20"/>
        <v>56704.999999999993</v>
      </c>
      <c r="AC77" s="56">
        <v>38624</v>
      </c>
      <c r="AD77" s="56">
        <v>38624</v>
      </c>
      <c r="AE77" s="56">
        <v>50000</v>
      </c>
      <c r="AF77" s="58">
        <f t="shared" si="21"/>
        <v>-5000</v>
      </c>
      <c r="AG77" s="58">
        <f t="shared" si="22"/>
        <v>11376</v>
      </c>
      <c r="AI77" s="12"/>
      <c r="AJ77" s="12"/>
      <c r="AK77" s="12"/>
      <c r="AL77" s="12"/>
      <c r="AM77" s="12"/>
      <c r="AN77" s="12"/>
      <c r="AO77" s="12"/>
      <c r="AP77" s="12"/>
    </row>
    <row r="78" spans="1:42" x14ac:dyDescent="0.25">
      <c r="A78" t="s">
        <v>115</v>
      </c>
      <c r="C78" s="64">
        <f>'[1]Health Vote 2015-16'!AD79</f>
        <v>74000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83">
        <f t="shared" si="17"/>
        <v>1</v>
      </c>
      <c r="S78" s="83">
        <f t="shared" si="18"/>
        <v>3.1E-2</v>
      </c>
      <c r="T78" s="83"/>
      <c r="U78" s="83">
        <f t="shared" si="19"/>
        <v>3.0999999999999917E-2</v>
      </c>
      <c r="V78" s="17"/>
      <c r="W78" s="17"/>
      <c r="X78" s="17"/>
      <c r="Y78" s="64">
        <f t="shared" si="20"/>
        <v>76294</v>
      </c>
      <c r="Z78" s="17"/>
      <c r="AA78" s="17"/>
      <c r="AC78" s="56">
        <v>23345</v>
      </c>
      <c r="AD78" s="56">
        <v>23345</v>
      </c>
      <c r="AE78" s="56">
        <v>90000</v>
      </c>
      <c r="AF78" s="58">
        <f t="shared" si="21"/>
        <v>16000</v>
      </c>
      <c r="AG78" s="58">
        <f t="shared" si="22"/>
        <v>66655</v>
      </c>
      <c r="AI78" s="12"/>
      <c r="AJ78" s="12"/>
      <c r="AK78" s="12"/>
      <c r="AL78" s="12"/>
      <c r="AM78" s="12"/>
      <c r="AN78" s="12"/>
      <c r="AO78" s="12"/>
      <c r="AP78" s="12"/>
    </row>
    <row r="79" spans="1:42" x14ac:dyDescent="0.25">
      <c r="A79" s="97" t="s">
        <v>116</v>
      </c>
      <c r="B79" s="97"/>
      <c r="C79" s="98">
        <f>SUM(C72:C78)</f>
        <v>1088100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Y79" s="37">
        <f t="array" ref="Y79">SUM(C72:C78*(1+U72:U78))</f>
        <v>1121831.1000000001</v>
      </c>
      <c r="AA79" s="37">
        <f>Y79-C79</f>
        <v>33731.100000000093</v>
      </c>
      <c r="AB79" s="37"/>
      <c r="AC79" s="111">
        <f>SUM(AC72:AC78)</f>
        <v>650458</v>
      </c>
      <c r="AD79" s="111">
        <f>SUM(AD72:AD78)</f>
        <v>584294</v>
      </c>
      <c r="AE79" s="111">
        <f>SUM(AE72:AE78)</f>
        <v>803196</v>
      </c>
      <c r="AF79" s="111">
        <f t="shared" si="21"/>
        <v>-284904</v>
      </c>
      <c r="AG79" s="111">
        <f t="shared" si="22"/>
        <v>152738</v>
      </c>
      <c r="AH79" s="37"/>
      <c r="AI79" s="12"/>
      <c r="AJ79" s="12"/>
      <c r="AK79" s="12"/>
      <c r="AL79" s="12"/>
      <c r="AM79" s="12"/>
      <c r="AN79" s="12"/>
      <c r="AO79" s="12"/>
      <c r="AP79" s="12"/>
    </row>
    <row r="80" spans="1:42" x14ac:dyDescent="0.25">
      <c r="A80" s="102"/>
      <c r="B80" s="102"/>
      <c r="C80" s="65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Z80" s="73"/>
      <c r="AA80" s="55"/>
      <c r="AB80" s="12"/>
      <c r="AC80" s="53">
        <f>$C79-AC79</f>
        <v>437642</v>
      </c>
      <c r="AD80" s="53">
        <f>$C79-AD79</f>
        <v>503806</v>
      </c>
      <c r="AE80" s="54" t="s">
        <v>54</v>
      </c>
      <c r="AF80" s="53">
        <f>AA79-AF79</f>
        <v>318635.10000000009</v>
      </c>
      <c r="AG80" s="53">
        <f>$AA79-AG79</f>
        <v>-119006.89999999991</v>
      </c>
      <c r="AH80" s="55"/>
      <c r="AI80" s="12"/>
      <c r="AJ80" s="12"/>
      <c r="AK80" s="12"/>
      <c r="AL80" s="12"/>
      <c r="AM80" s="12"/>
      <c r="AN80" s="12"/>
      <c r="AO80" s="12"/>
      <c r="AP80" s="12"/>
    </row>
    <row r="81" spans="1:42" x14ac:dyDescent="0.25">
      <c r="A81" s="103" t="s">
        <v>117</v>
      </c>
      <c r="B81" s="103"/>
      <c r="C81" s="104">
        <f>C79+C69</f>
        <v>1103110</v>
      </c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6">
        <f t="array" ref="U81">SUM(C68*U68,C72:C76*U72:U76)/SUM(C68,C72:C76)</f>
        <v>3.0999999999999917E-2</v>
      </c>
      <c r="V81" s="114"/>
      <c r="W81" s="114"/>
      <c r="X81" s="114"/>
      <c r="Y81" s="104">
        <f>Y79+Y69</f>
        <v>1137306.4100000001</v>
      </c>
      <c r="Z81" s="104">
        <f>Y81</f>
        <v>1137306.4100000001</v>
      </c>
      <c r="AA81" s="104">
        <f>AA79+AA69</f>
        <v>34196.410000000091</v>
      </c>
      <c r="AB81" s="65"/>
      <c r="AC81" s="108">
        <f>AC79+AC69</f>
        <v>666749</v>
      </c>
      <c r="AD81" s="108">
        <f>AD79+AD69</f>
        <v>600585</v>
      </c>
      <c r="AE81" s="108">
        <f>AE79+AE69</f>
        <v>818206</v>
      </c>
      <c r="AF81" s="108">
        <f>AE81-C81</f>
        <v>-284904</v>
      </c>
      <c r="AG81" s="108">
        <f t="shared" ref="AG81:AG91" si="23">AE81-AC81</f>
        <v>151457</v>
      </c>
      <c r="AH81" s="65"/>
      <c r="AI81" s="12"/>
      <c r="AJ81" s="12"/>
      <c r="AK81" s="12"/>
      <c r="AL81" s="12"/>
      <c r="AM81" s="12"/>
      <c r="AN81" s="12"/>
      <c r="AO81" s="12"/>
      <c r="AP81" s="12"/>
    </row>
    <row r="82" spans="1:42" x14ac:dyDescent="0.25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AA82" s="55"/>
      <c r="AB82" s="55"/>
      <c r="AC82" s="34"/>
      <c r="AD82" s="34"/>
      <c r="AE82" s="34"/>
      <c r="AF82" s="34"/>
      <c r="AG82" s="34"/>
      <c r="AH82" s="55"/>
      <c r="AI82" s="12"/>
      <c r="AJ82" s="12"/>
      <c r="AK82" s="12"/>
      <c r="AL82" s="12"/>
      <c r="AM82" s="12"/>
      <c r="AN82" s="12"/>
      <c r="AO82" s="12"/>
      <c r="AP82" s="12"/>
    </row>
    <row r="83" spans="1:42" ht="15.75" thickBot="1" x14ac:dyDescent="0.3">
      <c r="A83" s="115" t="s">
        <v>118</v>
      </c>
      <c r="B83" s="115"/>
      <c r="C83" s="116">
        <f>C81+C65</f>
        <v>15868381</v>
      </c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8">
        <f>(C65*U65+C81*U81)/(C65+C81)</f>
        <v>4.558946557222051E-2</v>
      </c>
      <c r="V83" s="119"/>
      <c r="W83" s="119"/>
      <c r="X83" s="119"/>
      <c r="Y83" s="119"/>
      <c r="Z83" s="116">
        <f>Z81+Z65</f>
        <v>16708895.009286379</v>
      </c>
      <c r="AA83" s="116">
        <f>AA81+AA65</f>
        <v>840514.00928637991</v>
      </c>
      <c r="AB83" s="65"/>
      <c r="AC83" s="120">
        <f>AC81+AC65</f>
        <v>15484899</v>
      </c>
      <c r="AD83" s="120">
        <f>AD81+AD65</f>
        <v>15407235</v>
      </c>
      <c r="AE83" s="120">
        <f>AE81+AE65</f>
        <v>16141806</v>
      </c>
      <c r="AF83" s="120">
        <f>AE83-C83</f>
        <v>273425</v>
      </c>
      <c r="AG83" s="120">
        <f t="shared" si="23"/>
        <v>656907</v>
      </c>
      <c r="AH83" s="65"/>
      <c r="AI83" s="12"/>
      <c r="AJ83" s="12"/>
      <c r="AK83" s="12"/>
      <c r="AL83" s="12"/>
      <c r="AM83" s="12"/>
      <c r="AN83" s="12"/>
      <c r="AO83" s="12"/>
      <c r="AP83" s="12"/>
    </row>
    <row r="84" spans="1:42" ht="15.75" thickTop="1" x14ac:dyDescent="0.25">
      <c r="AA84" s="55"/>
      <c r="AB84" s="55"/>
      <c r="AC84" s="55"/>
      <c r="AD84" s="55"/>
      <c r="AE84" s="55"/>
      <c r="AF84" s="55"/>
      <c r="AG84" s="55"/>
      <c r="AH84" s="55"/>
      <c r="AI84" s="12"/>
      <c r="AJ84" s="12"/>
      <c r="AK84" s="12"/>
      <c r="AL84" s="12"/>
      <c r="AM84" s="12"/>
      <c r="AN84" s="12"/>
      <c r="AO84" s="12"/>
      <c r="AP84" s="12"/>
    </row>
    <row r="85" spans="1:42" x14ac:dyDescent="0.25">
      <c r="AI85" s="12"/>
      <c r="AJ85" s="12"/>
      <c r="AK85" s="12"/>
      <c r="AL85" s="12"/>
      <c r="AM85" s="12"/>
      <c r="AN85" s="12"/>
      <c r="AO85" s="12"/>
      <c r="AP85" s="12"/>
    </row>
    <row r="86" spans="1:42" x14ac:dyDescent="0.25">
      <c r="A86" s="121" t="s">
        <v>119</v>
      </c>
      <c r="B86" s="24"/>
      <c r="C86" s="24"/>
      <c r="D86" s="24"/>
      <c r="E86" s="24"/>
      <c r="F86" s="24"/>
      <c r="G86" s="24"/>
      <c r="H86" s="24"/>
      <c r="I86" s="34"/>
    </row>
    <row r="87" spans="1:42" ht="75" x14ac:dyDescent="0.25">
      <c r="A87" s="24"/>
      <c r="B87" s="122" t="s">
        <v>120</v>
      </c>
      <c r="C87" s="122" t="s">
        <v>121</v>
      </c>
      <c r="D87" s="122" t="s">
        <v>122</v>
      </c>
      <c r="E87" s="122" t="s">
        <v>123</v>
      </c>
      <c r="F87" s="122" t="s">
        <v>124</v>
      </c>
      <c r="G87" s="122" t="s">
        <v>125</v>
      </c>
      <c r="H87" s="122" t="s">
        <v>126</v>
      </c>
      <c r="I87" s="122" t="s">
        <v>127</v>
      </c>
      <c r="J87" s="122" t="s">
        <v>128</v>
      </c>
      <c r="K87" s="122" t="s">
        <v>129</v>
      </c>
    </row>
    <row r="88" spans="1:42" x14ac:dyDescent="0.25">
      <c r="A88" s="121" t="s">
        <v>130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42" x14ac:dyDescent="0.25">
      <c r="A89" s="24" t="s">
        <v>131</v>
      </c>
      <c r="B89" s="100">
        <f>C8*(1+U8)</f>
        <v>195751.51563511227</v>
      </c>
      <c r="C89" s="100">
        <f>AE8</f>
        <v>195677</v>
      </c>
      <c r="D89" s="123">
        <f>B89-C89</f>
        <v>74.515635112271411</v>
      </c>
      <c r="E89" s="100">
        <f>'[1]2016 Health appropriations'!D13+'[1]2016 Health appropriations'!D14</f>
        <v>5445</v>
      </c>
      <c r="F89" s="123">
        <f>D89+E89</f>
        <v>5519.5156351122714</v>
      </c>
      <c r="G89" s="100">
        <v>0</v>
      </c>
      <c r="H89" s="123">
        <f>F89+G89</f>
        <v>5519.5156351122714</v>
      </c>
      <c r="I89" s="100">
        <v>0</v>
      </c>
      <c r="J89" s="123">
        <f>H89+I89</f>
        <v>5519.5156351122714</v>
      </c>
      <c r="K89" s="100">
        <f>I89+E89</f>
        <v>5445</v>
      </c>
    </row>
    <row r="90" spans="1:42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  <row r="91" spans="1:42" x14ac:dyDescent="0.25">
      <c r="A91" s="121" t="s">
        <v>132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</row>
    <row r="92" spans="1:42" x14ac:dyDescent="0.25">
      <c r="A92" s="24" t="s">
        <v>133</v>
      </c>
      <c r="B92" s="100">
        <f>C32*(1+U32)</f>
        <v>12271636.705930399</v>
      </c>
      <c r="C92" s="100">
        <f>AE32</f>
        <v>12219915</v>
      </c>
      <c r="D92" s="123">
        <f>B92-C92</f>
        <v>51721.705930398777</v>
      </c>
      <c r="E92" s="100">
        <f>'[1]2016 Health appropriations'!D4+'[1]2016 Health appropriations'!D9+'[1]2016 Health appropriations'!D36</f>
        <v>55480</v>
      </c>
      <c r="F92" s="123">
        <f>D92+E92</f>
        <v>107201.70593039878</v>
      </c>
      <c r="G92" s="100">
        <f>'[1]2016 Health appropriations'!D41+'[1]2016 Health appropriations'!D43</f>
        <v>44845</v>
      </c>
      <c r="H92" s="123">
        <f>F92+G92</f>
        <v>152046.70593039878</v>
      </c>
      <c r="I92" s="100">
        <v>0</v>
      </c>
      <c r="J92" s="123">
        <f>H92+I92</f>
        <v>152046.70593039878</v>
      </c>
      <c r="K92" s="100">
        <f>I92+E92</f>
        <v>55480</v>
      </c>
      <c r="S92" s="124"/>
    </row>
    <row r="93" spans="1:42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</row>
    <row r="94" spans="1:42" x14ac:dyDescent="0.25">
      <c r="A94" s="121" t="s">
        <v>134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R94" s="124"/>
    </row>
    <row r="95" spans="1:42" x14ac:dyDescent="0.25">
      <c r="A95" s="78" t="str">
        <f t="shared" ref="A95:A110" si="24">A35</f>
        <v>Health Workforce Training and Development</v>
      </c>
      <c r="B95" s="100">
        <f t="shared" ref="B95:B110" si="25">C35*(1+U35)</f>
        <v>177255.87012252802</v>
      </c>
      <c r="C95" s="100">
        <f t="shared" ref="C95:C110" si="26">AE35</f>
        <v>180014</v>
      </c>
      <c r="D95" s="123">
        <f t="shared" ref="D95:D110" si="27">B95-C95</f>
        <v>-2758.1298774719762</v>
      </c>
      <c r="E95" s="100">
        <v>0</v>
      </c>
      <c r="F95" s="123">
        <f t="shared" ref="F95:F110" si="28">D95+E95</f>
        <v>-2758.1298774719762</v>
      </c>
      <c r="G95" s="100">
        <v>0</v>
      </c>
      <c r="H95" s="123">
        <f>F95+G95</f>
        <v>-2758.1298774719762</v>
      </c>
      <c r="I95" s="100">
        <v>0</v>
      </c>
      <c r="J95" s="123">
        <f>H95+I95</f>
        <v>-2758.1298774719762</v>
      </c>
      <c r="K95" s="100">
        <f t="shared" ref="K95:K110" si="29">I95+E95</f>
        <v>0</v>
      </c>
    </row>
    <row r="96" spans="1:42" x14ac:dyDescent="0.25">
      <c r="A96" s="78" t="str">
        <f t="shared" si="24"/>
        <v>Monitoring and Protecting Health and Disability Consumer Interests</v>
      </c>
      <c r="B96" s="100">
        <f t="shared" si="25"/>
        <v>27563.414960344442</v>
      </c>
      <c r="C96" s="100">
        <f t="shared" si="26"/>
        <v>27596</v>
      </c>
      <c r="D96" s="123">
        <f t="shared" si="27"/>
        <v>-32.585039655557921</v>
      </c>
      <c r="E96" s="100">
        <v>0</v>
      </c>
      <c r="F96" s="123">
        <f t="shared" si="28"/>
        <v>-32.585039655557921</v>
      </c>
      <c r="G96" s="100">
        <v>0</v>
      </c>
      <c r="H96" s="123">
        <f t="shared" ref="H96:H110" si="30">F96+G96</f>
        <v>-32.585039655557921</v>
      </c>
      <c r="I96" s="100">
        <v>0</v>
      </c>
      <c r="J96" s="123">
        <f t="shared" ref="J96:J110" si="31">H96+I96</f>
        <v>-32.585039655557921</v>
      </c>
      <c r="K96" s="100">
        <f t="shared" si="29"/>
        <v>0</v>
      </c>
    </row>
    <row r="97" spans="1:11" x14ac:dyDescent="0.25">
      <c r="A97" s="78" t="str">
        <f t="shared" si="24"/>
        <v>National Advisory and Support Services</v>
      </c>
      <c r="B97" s="100">
        <f t="shared" si="25"/>
        <v>264.48508597909489</v>
      </c>
      <c r="C97" s="100">
        <f t="shared" si="26"/>
        <v>0</v>
      </c>
      <c r="D97" s="123">
        <f t="shared" si="27"/>
        <v>264.48508597909489</v>
      </c>
      <c r="E97" s="100">
        <v>0</v>
      </c>
      <c r="F97" s="123">
        <f t="shared" si="28"/>
        <v>264.48508597909489</v>
      </c>
      <c r="G97" s="100">
        <f>'[1]2016 Health appropriations'!D44</f>
        <v>-260</v>
      </c>
      <c r="H97" s="123">
        <f t="shared" si="30"/>
        <v>4.4850859790948903</v>
      </c>
      <c r="I97" s="100">
        <v>0</v>
      </c>
      <c r="J97" s="123">
        <f t="shared" si="31"/>
        <v>4.4850859790948903</v>
      </c>
      <c r="K97" s="100">
        <f t="shared" si="29"/>
        <v>0</v>
      </c>
    </row>
    <row r="98" spans="1:11" x14ac:dyDescent="0.25">
      <c r="A98" s="78" t="str">
        <f t="shared" si="24"/>
        <v>National Child Health Services</v>
      </c>
      <c r="B98" s="100">
        <f t="shared" si="25"/>
        <v>89329.058507530819</v>
      </c>
      <c r="C98" s="100">
        <f t="shared" si="26"/>
        <v>85001</v>
      </c>
      <c r="D98" s="123">
        <f t="shared" si="27"/>
        <v>4328.058507530819</v>
      </c>
      <c r="E98" s="100">
        <f>'[1]2016 Health appropriations'!D22</f>
        <v>70</v>
      </c>
      <c r="F98" s="123">
        <f t="shared" si="28"/>
        <v>4398.058507530819</v>
      </c>
      <c r="G98" s="100">
        <v>0</v>
      </c>
      <c r="H98" s="123">
        <f t="shared" si="30"/>
        <v>4398.058507530819</v>
      </c>
      <c r="I98" s="100">
        <v>0</v>
      </c>
      <c r="J98" s="123">
        <f t="shared" si="31"/>
        <v>4398.058507530819</v>
      </c>
      <c r="K98" s="100">
        <f t="shared" si="29"/>
        <v>70</v>
      </c>
    </row>
    <row r="99" spans="1:11" x14ac:dyDescent="0.25">
      <c r="A99" s="78" t="str">
        <f t="shared" si="24"/>
        <v>National Contracted Services - Other</v>
      </c>
      <c r="B99" s="100">
        <f t="shared" si="25"/>
        <v>47349.201664907501</v>
      </c>
      <c r="C99" s="100">
        <f t="shared" si="26"/>
        <v>37155</v>
      </c>
      <c r="D99" s="123">
        <f t="shared" si="27"/>
        <v>10194.201664907501</v>
      </c>
      <c r="E99" s="100">
        <f>'[1]2016 Health appropriations'!D11</f>
        <v>4500</v>
      </c>
      <c r="F99" s="123">
        <f t="shared" si="28"/>
        <v>14694.201664907501</v>
      </c>
      <c r="G99" s="100">
        <f>'[1]2016 Health appropriations'!D42+'[1]2016 Health appropriations'!D45</f>
        <v>-12760</v>
      </c>
      <c r="H99" s="123">
        <f t="shared" si="30"/>
        <v>1934.2016649075013</v>
      </c>
      <c r="I99" s="100">
        <v>0</v>
      </c>
      <c r="J99" s="123">
        <f t="shared" si="31"/>
        <v>1934.2016649075013</v>
      </c>
      <c r="K99" s="100">
        <f t="shared" si="29"/>
        <v>4500</v>
      </c>
    </row>
    <row r="100" spans="1:11" s="24" customFormat="1" x14ac:dyDescent="0.25">
      <c r="A100" s="78" t="str">
        <f t="shared" si="24"/>
        <v>National Disability Support Services</v>
      </c>
      <c r="B100" s="100">
        <f t="shared" si="25"/>
        <v>1217332.7755347653</v>
      </c>
      <c r="C100" s="100">
        <f t="shared" si="26"/>
        <v>1165888</v>
      </c>
      <c r="D100" s="123">
        <f t="shared" si="27"/>
        <v>51444.775534765329</v>
      </c>
      <c r="E100" s="100">
        <v>0</v>
      </c>
      <c r="F100" s="123">
        <f t="shared" si="28"/>
        <v>51444.775534765329</v>
      </c>
      <c r="G100" s="100">
        <f>'[1]2016 Health appropriations'!D40</f>
        <v>-31845</v>
      </c>
      <c r="H100" s="123">
        <f t="shared" si="30"/>
        <v>19599.775534765329</v>
      </c>
      <c r="I100" s="100">
        <v>0</v>
      </c>
      <c r="J100" s="123">
        <f t="shared" si="31"/>
        <v>19599.775534765329</v>
      </c>
      <c r="K100" s="100">
        <f t="shared" si="29"/>
        <v>0</v>
      </c>
    </row>
    <row r="101" spans="1:11" s="24" customFormat="1" x14ac:dyDescent="0.25">
      <c r="A101" s="78" t="str">
        <f t="shared" si="24"/>
        <v>National Elective Services</v>
      </c>
      <c r="B101" s="100">
        <f t="shared" si="25"/>
        <v>331510.69835769857</v>
      </c>
      <c r="C101" s="100">
        <f t="shared" si="26"/>
        <v>355517</v>
      </c>
      <c r="D101" s="123">
        <f t="shared" si="27"/>
        <v>-24006.301642301434</v>
      </c>
      <c r="E101" s="100">
        <f>'[1]2016 Health appropriations'!D5</f>
        <v>24000</v>
      </c>
      <c r="F101" s="123">
        <f t="shared" si="28"/>
        <v>-6.3016423014341854</v>
      </c>
      <c r="G101" s="100">
        <v>0</v>
      </c>
      <c r="H101" s="123">
        <f t="shared" si="30"/>
        <v>-6.3016423014341854</v>
      </c>
      <c r="I101" s="100">
        <v>0</v>
      </c>
      <c r="J101" s="123">
        <f t="shared" si="31"/>
        <v>-6.3016423014341854</v>
      </c>
      <c r="K101" s="100">
        <f t="shared" si="29"/>
        <v>24000</v>
      </c>
    </row>
    <row r="102" spans="1:11" s="24" customFormat="1" x14ac:dyDescent="0.25">
      <c r="A102" s="78" t="str">
        <f t="shared" si="24"/>
        <v>National Emergency Services</v>
      </c>
      <c r="B102" s="100">
        <f t="shared" si="25"/>
        <v>100629.31395309797</v>
      </c>
      <c r="C102" s="100">
        <f t="shared" si="26"/>
        <v>99946</v>
      </c>
      <c r="D102" s="123">
        <f t="shared" si="27"/>
        <v>683.3139530979679</v>
      </c>
      <c r="E102" s="100">
        <v>0</v>
      </c>
      <c r="F102" s="123">
        <f t="shared" si="28"/>
        <v>683.3139530979679</v>
      </c>
      <c r="G102" s="100">
        <v>0</v>
      </c>
      <c r="H102" s="123">
        <f t="shared" si="30"/>
        <v>683.3139530979679</v>
      </c>
      <c r="I102" s="100">
        <v>0</v>
      </c>
      <c r="J102" s="123">
        <f t="shared" si="31"/>
        <v>683.3139530979679</v>
      </c>
      <c r="K102" s="100">
        <f t="shared" si="29"/>
        <v>0</v>
      </c>
    </row>
    <row r="103" spans="1:11" s="24" customFormat="1" x14ac:dyDescent="0.25">
      <c r="A103" s="78" t="str">
        <f t="shared" si="24"/>
        <v xml:space="preserve">National Health Information Systems </v>
      </c>
      <c r="B103" s="100">
        <f t="shared" si="25"/>
        <v>15143.805672964561</v>
      </c>
      <c r="C103" s="100">
        <f t="shared" si="26"/>
        <v>13065</v>
      </c>
      <c r="D103" s="123">
        <f t="shared" si="27"/>
        <v>2078.8056729645614</v>
      </c>
      <c r="E103" s="100">
        <v>0</v>
      </c>
      <c r="F103" s="123">
        <f t="shared" si="28"/>
        <v>2078.8056729645614</v>
      </c>
      <c r="G103" s="100">
        <v>0</v>
      </c>
      <c r="H103" s="123">
        <f t="shared" si="30"/>
        <v>2078.8056729645614</v>
      </c>
      <c r="I103" s="100">
        <v>0</v>
      </c>
      <c r="J103" s="123">
        <f t="shared" si="31"/>
        <v>2078.8056729645614</v>
      </c>
      <c r="K103" s="100">
        <f t="shared" si="29"/>
        <v>0</v>
      </c>
    </row>
    <row r="104" spans="1:11" s="24" customFormat="1" x14ac:dyDescent="0.25">
      <c r="A104" s="78" t="str">
        <f t="shared" si="24"/>
        <v>National Māori Health Services</v>
      </c>
      <c r="B104" s="100">
        <f t="shared" si="25"/>
        <v>7625.4565156495228</v>
      </c>
      <c r="C104" s="100">
        <f t="shared" si="26"/>
        <v>6828</v>
      </c>
      <c r="D104" s="123">
        <f t="shared" si="27"/>
        <v>797.45651564952277</v>
      </c>
      <c r="E104" s="100">
        <v>0</v>
      </c>
      <c r="F104" s="123">
        <f t="shared" si="28"/>
        <v>797.45651564952277</v>
      </c>
      <c r="G104" s="100">
        <f>'[1]2016 Health appropriations'!D46</f>
        <v>20</v>
      </c>
      <c r="H104" s="123">
        <f t="shared" si="30"/>
        <v>817.45651564952277</v>
      </c>
      <c r="I104" s="100">
        <v>0</v>
      </c>
      <c r="J104" s="123">
        <f t="shared" si="31"/>
        <v>817.45651564952277</v>
      </c>
      <c r="K104" s="100">
        <f t="shared" si="29"/>
        <v>0</v>
      </c>
    </row>
    <row r="105" spans="1:11" s="24" customFormat="1" x14ac:dyDescent="0.25">
      <c r="A105" s="78" t="str">
        <f t="shared" si="24"/>
        <v>National Maternity Services</v>
      </c>
      <c r="B105" s="100">
        <f t="shared" si="25"/>
        <v>158855.4722684398</v>
      </c>
      <c r="C105" s="100">
        <f t="shared" si="26"/>
        <v>146767</v>
      </c>
      <c r="D105" s="123">
        <f t="shared" si="27"/>
        <v>12088.4722684398</v>
      </c>
      <c r="E105" s="100">
        <v>0</v>
      </c>
      <c r="F105" s="123">
        <f t="shared" si="28"/>
        <v>12088.4722684398</v>
      </c>
      <c r="G105" s="100">
        <v>0</v>
      </c>
      <c r="H105" s="123">
        <f t="shared" si="30"/>
        <v>12088.4722684398</v>
      </c>
      <c r="I105" s="100">
        <v>0</v>
      </c>
      <c r="J105" s="123">
        <f t="shared" si="31"/>
        <v>12088.4722684398</v>
      </c>
      <c r="K105" s="100">
        <f t="shared" si="29"/>
        <v>0</v>
      </c>
    </row>
    <row r="106" spans="1:11" s="24" customFormat="1" x14ac:dyDescent="0.25">
      <c r="A106" s="78" t="str">
        <f t="shared" si="24"/>
        <v>National Mental Health Services</v>
      </c>
      <c r="B106" s="100">
        <f t="shared" si="25"/>
        <v>58441.077862022634</v>
      </c>
      <c r="C106" s="100">
        <f t="shared" si="26"/>
        <v>58962</v>
      </c>
      <c r="D106" s="123">
        <f t="shared" si="27"/>
        <v>-520.92213797736622</v>
      </c>
      <c r="E106" s="100">
        <f>'[1]2016 Health appropriations'!D10+'[1]2016 Health appropriations'!D18</f>
        <v>4000</v>
      </c>
      <c r="F106" s="123">
        <f t="shared" si="28"/>
        <v>3479.0778620226338</v>
      </c>
      <c r="G106" s="100">
        <f>'[1]2016 Health appropriations'!D50</f>
        <v>2309</v>
      </c>
      <c r="H106" s="123">
        <f t="shared" si="30"/>
        <v>5788.0778620226338</v>
      </c>
      <c r="I106" s="100">
        <f>'[1]2016 Health appropriations'!D24</f>
        <v>-197</v>
      </c>
      <c r="J106" s="123">
        <f t="shared" si="31"/>
        <v>5591.0778620226338</v>
      </c>
      <c r="K106" s="100">
        <f t="shared" si="29"/>
        <v>3803</v>
      </c>
    </row>
    <row r="107" spans="1:11" s="24" customFormat="1" x14ac:dyDescent="0.25">
      <c r="A107" s="78" t="str">
        <f t="shared" si="24"/>
        <v>National Personal Health Services</v>
      </c>
      <c r="B107" s="100">
        <f t="shared" si="25"/>
        <v>81626.046579941758</v>
      </c>
      <c r="C107" s="100">
        <f t="shared" si="26"/>
        <v>98694</v>
      </c>
      <c r="D107" s="123">
        <f t="shared" si="27"/>
        <v>-17067.953420058242</v>
      </c>
      <c r="E107" s="100">
        <v>0</v>
      </c>
      <c r="F107" s="123">
        <f t="shared" si="28"/>
        <v>-17067.953420058242</v>
      </c>
      <c r="G107" s="100">
        <f>'[1]2016 Health appropriations'!D48</f>
        <v>15321</v>
      </c>
      <c r="H107" s="123">
        <f t="shared" si="30"/>
        <v>-1746.953420058242</v>
      </c>
      <c r="I107" s="100">
        <v>0</v>
      </c>
      <c r="J107" s="123">
        <f t="shared" si="31"/>
        <v>-1746.953420058242</v>
      </c>
      <c r="K107" s="100">
        <f t="shared" si="29"/>
        <v>0</v>
      </c>
    </row>
    <row r="108" spans="1:11" s="24" customFormat="1" x14ac:dyDescent="0.25">
      <c r="A108" s="78" t="str">
        <f t="shared" si="24"/>
        <v>Primary Health Care Strategy</v>
      </c>
      <c r="B108" s="100">
        <f t="shared" si="25"/>
        <v>179607.25643661089</v>
      </c>
      <c r="C108" s="100">
        <f t="shared" si="26"/>
        <v>186019</v>
      </c>
      <c r="D108" s="123">
        <f t="shared" si="27"/>
        <v>-6411.7435633891146</v>
      </c>
      <c r="E108" s="100">
        <f>'[1]2016 Health appropriations'!D6</f>
        <v>14329</v>
      </c>
      <c r="F108" s="123">
        <f t="shared" si="28"/>
        <v>7917.2564366108854</v>
      </c>
      <c r="G108" s="100">
        <v>0</v>
      </c>
      <c r="H108" s="123">
        <f t="shared" si="30"/>
        <v>7917.2564366108854</v>
      </c>
      <c r="I108" s="100">
        <v>0</v>
      </c>
      <c r="J108" s="123">
        <f t="shared" si="31"/>
        <v>7917.2564366108854</v>
      </c>
      <c r="K108" s="100">
        <f t="shared" si="29"/>
        <v>14329</v>
      </c>
    </row>
    <row r="109" spans="1:11" s="24" customFormat="1" x14ac:dyDescent="0.25">
      <c r="A109" s="78" t="str">
        <f t="shared" si="24"/>
        <v>Problem Gambling Services</v>
      </c>
      <c r="B109" s="100">
        <f t="shared" si="25"/>
        <v>17874.120157782749</v>
      </c>
      <c r="C109" s="100">
        <f t="shared" si="26"/>
        <v>17440</v>
      </c>
      <c r="D109" s="123">
        <f t="shared" si="27"/>
        <v>434.12015778274872</v>
      </c>
      <c r="E109" s="100">
        <v>0</v>
      </c>
      <c r="F109" s="123">
        <f t="shared" si="28"/>
        <v>434.12015778274872</v>
      </c>
      <c r="G109" s="100">
        <v>0</v>
      </c>
      <c r="H109" s="123">
        <f t="shared" si="30"/>
        <v>434.12015778274872</v>
      </c>
      <c r="I109" s="100">
        <v>0</v>
      </c>
      <c r="J109" s="123">
        <f t="shared" si="31"/>
        <v>434.12015778274872</v>
      </c>
      <c r="K109" s="100">
        <f t="shared" si="29"/>
        <v>0</v>
      </c>
    </row>
    <row r="110" spans="1:11" s="24" customFormat="1" x14ac:dyDescent="0.25">
      <c r="A110" s="78" t="str">
        <f t="shared" si="24"/>
        <v>Public Health Service Purchasing</v>
      </c>
      <c r="B110" s="100">
        <f t="shared" si="25"/>
        <v>447748.71079652879</v>
      </c>
      <c r="C110" s="100">
        <f t="shared" si="26"/>
        <v>400644</v>
      </c>
      <c r="D110" s="125">
        <f t="shared" si="27"/>
        <v>47104.710796528787</v>
      </c>
      <c r="E110" s="100">
        <f>'[1]2016 Health appropriations'!D12+'[1]2016 Health appropriations'!D17</f>
        <v>9456</v>
      </c>
      <c r="F110" s="125">
        <f t="shared" si="28"/>
        <v>56560.710796528787</v>
      </c>
      <c r="G110" s="86">
        <f>'[1]2016 Health appropriations'!D47+'[1]2016 Health appropriations'!D49</f>
        <v>-17630</v>
      </c>
      <c r="H110" s="125">
        <f t="shared" si="30"/>
        <v>38930.710796528787</v>
      </c>
      <c r="I110" s="86">
        <v>0</v>
      </c>
      <c r="J110" s="125">
        <f t="shared" si="31"/>
        <v>38930.710796528787</v>
      </c>
      <c r="K110" s="86">
        <f t="shared" si="29"/>
        <v>9456</v>
      </c>
    </row>
    <row r="111" spans="1:11" s="24" customFormat="1" x14ac:dyDescent="0.25">
      <c r="A111" s="126" t="s">
        <v>24</v>
      </c>
      <c r="B111" s="111">
        <f t="shared" ref="B111:K111" si="32">SUM(B95:B110)</f>
        <v>2958156.7644767924</v>
      </c>
      <c r="C111" s="111">
        <f t="shared" si="32"/>
        <v>2879536</v>
      </c>
      <c r="D111" s="127">
        <f t="shared" si="32"/>
        <v>78620.764476792436</v>
      </c>
      <c r="E111" s="111">
        <f t="shared" si="32"/>
        <v>56355</v>
      </c>
      <c r="F111" s="127">
        <f t="shared" si="32"/>
        <v>134975.76447679242</v>
      </c>
      <c r="G111" s="127">
        <f>SUM(G95:G110)</f>
        <v>-44845</v>
      </c>
      <c r="H111" s="127">
        <f>SUM(H95:H110)</f>
        <v>90130.764476792436</v>
      </c>
      <c r="I111" s="127">
        <f t="shared" si="32"/>
        <v>-197</v>
      </c>
      <c r="J111" s="127">
        <f t="shared" si="32"/>
        <v>89933.764476792436</v>
      </c>
      <c r="K111" s="111">
        <f t="shared" si="32"/>
        <v>56158</v>
      </c>
    </row>
    <row r="112" spans="1:11" s="24" customFormat="1" x14ac:dyDescent="0.25">
      <c r="C112" s="100"/>
      <c r="D112" s="100"/>
      <c r="E112" s="100"/>
      <c r="F112" s="100"/>
    </row>
    <row r="113" spans="1:14" s="24" customFormat="1" x14ac:dyDescent="0.25">
      <c r="A113" s="121" t="s">
        <v>135</v>
      </c>
      <c r="E113" s="100"/>
    </row>
    <row r="114" spans="1:14" s="24" customFormat="1" x14ac:dyDescent="0.25">
      <c r="A114" s="24" t="s">
        <v>103</v>
      </c>
      <c r="B114" s="100">
        <f>C63*(1+U63)</f>
        <v>28960.613244073949</v>
      </c>
      <c r="C114" s="100">
        <f>AE63</f>
        <v>28472</v>
      </c>
      <c r="D114" s="123">
        <f>B114-C114</f>
        <v>488.61324407394932</v>
      </c>
      <c r="E114" s="100">
        <v>0</v>
      </c>
      <c r="F114" s="123">
        <f>D114+E114</f>
        <v>488.61324407394932</v>
      </c>
      <c r="G114" s="100">
        <v>0</v>
      </c>
      <c r="H114" s="123">
        <f>F114+G114</f>
        <v>488.61324407394932</v>
      </c>
      <c r="I114" s="100">
        <v>0</v>
      </c>
      <c r="J114" s="123">
        <f>H114+I114</f>
        <v>488.61324407394932</v>
      </c>
      <c r="K114" s="100">
        <f>I114+E114</f>
        <v>0</v>
      </c>
    </row>
    <row r="115" spans="1:14" s="24" customFormat="1" x14ac:dyDescent="0.25">
      <c r="E115" s="100"/>
      <c r="G115" s="100"/>
      <c r="I115" s="100"/>
    </row>
    <row r="116" spans="1:14" s="24" customFormat="1" x14ac:dyDescent="0.25">
      <c r="A116" s="128" t="s">
        <v>136</v>
      </c>
      <c r="B116" s="108">
        <f t="shared" ref="B116:J116" si="33">B89+B111+B92+B114</f>
        <v>15454505.599286377</v>
      </c>
      <c r="C116" s="108">
        <f t="shared" si="33"/>
        <v>15323600</v>
      </c>
      <c r="D116" s="129">
        <f t="shared" si="33"/>
        <v>130905.59928637743</v>
      </c>
      <c r="E116" s="108">
        <f t="shared" si="33"/>
        <v>117280</v>
      </c>
      <c r="F116" s="129">
        <f t="shared" si="33"/>
        <v>248185.59928637743</v>
      </c>
      <c r="G116" s="108">
        <f>G89+G111+G92+G114</f>
        <v>0</v>
      </c>
      <c r="H116" s="129">
        <f>H89+H111+H92+H114</f>
        <v>248185.59928637746</v>
      </c>
      <c r="I116" s="108">
        <f t="shared" si="33"/>
        <v>-197</v>
      </c>
      <c r="J116" s="129">
        <f t="shared" si="33"/>
        <v>247988.59928637746</v>
      </c>
      <c r="K116" s="108">
        <f>I116+E116</f>
        <v>117083</v>
      </c>
      <c r="L116" s="100"/>
      <c r="M116" s="100"/>
      <c r="N116" s="100"/>
    </row>
    <row r="117" spans="1:14" s="24" customFormat="1" x14ac:dyDescent="0.25"/>
    <row r="118" spans="1:14" s="24" customFormat="1" x14ac:dyDescent="0.25">
      <c r="B118" s="24" t="s">
        <v>137</v>
      </c>
      <c r="E118" s="130">
        <f>E116/C65</f>
        <v>7.9429629161564316E-3</v>
      </c>
    </row>
    <row r="128" spans="1:14" x14ac:dyDescent="0.25">
      <c r="D128" s="131"/>
      <c r="E128" s="131"/>
    </row>
  </sheetData>
  <mergeCells count="3">
    <mergeCell ref="D1:AA1"/>
    <mergeCell ref="AC1:AE1"/>
    <mergeCell ref="AI6:AK6"/>
  </mergeCells>
  <pageMargins left="0.25" right="0.25" top="0.75" bottom="0.75" header="0.3" footer="0.3"/>
  <pageSetup paperSize="8" scale="4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27</vt:i4>
      </vt:variant>
    </vt:vector>
  </HeadingPairs>
  <TitlesOfParts>
    <vt:vector size="28" baseType="lpstr">
      <vt:lpstr>Health Vote 2016-17</vt:lpstr>
      <vt:lpstr>'Health Vote 2016-17'!_CPI16</vt:lpstr>
      <vt:lpstr>'Health Vote 2016-17'!_LCI16</vt:lpstr>
      <vt:lpstr>'Health Vote 2016-17'!BirthGrowth16</vt:lpstr>
      <vt:lpstr>'Health Vote 2016-17'!CapitalGoodsProportion16</vt:lpstr>
      <vt:lpstr>'Health Vote 2016-17'!CapitalPI16</vt:lpstr>
      <vt:lpstr>'Health Vote 2016-17'!ChildPopGrowth16</vt:lpstr>
      <vt:lpstr>CostOfSettlements1617</vt:lpstr>
      <vt:lpstr>'Health Vote 2016-17'!DHBFundedProportion16</vt:lpstr>
      <vt:lpstr>'Health Vote 2016-17'!DHBFundedWageIncreases16</vt:lpstr>
      <vt:lpstr>'Health Vote 2016-17'!DHBProviderProportion16</vt:lpstr>
      <vt:lpstr>'Health Vote 2016-17'!DHBProviderWageIncrease16</vt:lpstr>
      <vt:lpstr>'Health Vote 2016-17'!HighMinWageSectorWageIncrease</vt:lpstr>
      <vt:lpstr>'Health Vote 2016-17'!LabourProportion16</vt:lpstr>
      <vt:lpstr>'Health Vote 2016-17'!MedicalProportion16</vt:lpstr>
      <vt:lpstr>'Health Vote 2016-17'!MedicalSalaryIncreases16</vt:lpstr>
      <vt:lpstr>'Health Vote 2016-17'!NDGandProdSwitch16</vt:lpstr>
      <vt:lpstr>'Health Vote 2016-17'!NonDemographicGrowth16</vt:lpstr>
      <vt:lpstr>'Health Vote 2016-17'!NonLabourGeneralCostIncreases16</vt:lpstr>
      <vt:lpstr>'Health Vote 2016-17'!NonLabourHealthServicesCostIncrease16</vt:lpstr>
      <vt:lpstr>'Health Vote 2016-17'!NonLabourProportion16</vt:lpstr>
      <vt:lpstr>'Health Vote 2016-17'!NursingProportion16</vt:lpstr>
      <vt:lpstr>'Health Vote 2016-17'!NursingSalaryIncrease16</vt:lpstr>
      <vt:lpstr>'Health Vote 2016-17'!OtherDHBWageIncreases16</vt:lpstr>
      <vt:lpstr>'Health Vote 2016-17'!OtherWageIncreases16</vt:lpstr>
      <vt:lpstr>'Health Vote 2016-17'!OtherWageProportion16</vt:lpstr>
      <vt:lpstr>'Health Vote 2016-17'!PopulationGrowth16</vt:lpstr>
      <vt:lpstr>'Health Vote 2016-17'!ProductivityGrowth16</vt:lpstr>
    </vt:vector>
  </TitlesOfParts>
  <Company>NZCTU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Rosenberg</dc:creator>
  <cp:lastModifiedBy>Bill Rosenberg</cp:lastModifiedBy>
  <dcterms:created xsi:type="dcterms:W3CDTF">2016-06-10T00:33:14Z</dcterms:created>
  <dcterms:modified xsi:type="dcterms:W3CDTF">2016-06-10T00:54:06Z</dcterms:modified>
</cp:coreProperties>
</file>