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Do not remove - Bill's\CTU\Health\Health vote\"/>
    </mc:Choice>
  </mc:AlternateContent>
  <bookViews>
    <workbookView xWindow="0" yWindow="0" windowWidth="23475" windowHeight="11085"/>
  </bookViews>
  <sheets>
    <sheet name="Health Vote 2016-17 pre-Budget" sheetId="1" r:id="rId1"/>
  </sheets>
  <externalReferences>
    <externalReference r:id="rId2"/>
  </externalReferences>
  <definedNames>
    <definedName name="_CPI16" localSheetId="0">'Health Vote 2016-17 pre-Budget'!$AC$4</definedName>
    <definedName name="_LCI16" localSheetId="0">'Health Vote 2016-17 pre-Budget'!$AH$4</definedName>
    <definedName name="BirthGrowth16" localSheetId="0">'Health Vote 2016-17 pre-Budget'!$AD$4</definedName>
    <definedName name="CapitalGoodsProportion16" localSheetId="0">'Health Vote 2016-17 pre-Budget'!$R$4</definedName>
    <definedName name="CapitalPI16" localSheetId="0">'Health Vote 2016-17 pre-Budget'!$S$4</definedName>
    <definedName name="ChildPopGrowth16" localSheetId="0">'Health Vote 2016-17 pre-Budget'!$AE$4</definedName>
    <definedName name="DHBFundedProportion16" localSheetId="0">'Health Vote 2016-17 pre-Budget'!$K$4</definedName>
    <definedName name="DHBFundedWageIncreases16" localSheetId="0">'Health Vote 2016-17 pre-Budget'!$J$4</definedName>
    <definedName name="DHBProviderProportion16" localSheetId="0">'Health Vote 2016-17 pre-Budget'!$AI$4</definedName>
    <definedName name="DHBProviderWageIncrease16">'Health Vote 2016-17 pre-Budget'!$AF$4</definedName>
    <definedName name="HighMinWageSectorWageIncrease">'Health Vote 2016-17 pre-Budget'!$AJ$4</definedName>
    <definedName name="LabourProportion16" localSheetId="0">'Health Vote 2016-17 pre-Budget'!$AB$4</definedName>
    <definedName name="MedicalProportion16" localSheetId="0">'Health Vote 2016-17 pre-Budget'!$E$4</definedName>
    <definedName name="MedicalSalaryIncreases16" localSheetId="0">'Health Vote 2016-17 pre-Budget'!$D$4</definedName>
    <definedName name="MedicalSalaryIncreases16">'Health Vote 2016-17 pre-Budget'!$D$4</definedName>
    <definedName name="NDGandProdSwitch16" localSheetId="0">'Health Vote 2016-17 pre-Budget'!$C$1</definedName>
    <definedName name="NonDemographicGrowth16" localSheetId="0">'Health Vote 2016-17 pre-Budget'!$P$4</definedName>
    <definedName name="NonLabourGeneralCostIncreases16" localSheetId="0">'Health Vote 2016-17 pre-Budget'!$N$4</definedName>
    <definedName name="NonLabourHealthServicesCostIncrease16" localSheetId="0">'Health Vote 2016-17 pre-Budget'!$L$4</definedName>
    <definedName name="NonLabourProportion16" localSheetId="0">'Health Vote 2016-17 pre-Budget'!$M$4</definedName>
    <definedName name="NursingProportion16" localSheetId="0">'Health Vote 2016-17 pre-Budget'!$G$4</definedName>
    <definedName name="NursingSalaryIncrease16" localSheetId="0">'Health Vote 2016-17 pre-Budget'!$F$4</definedName>
    <definedName name="OtherDHBWageIncreases16" localSheetId="0">'Health Vote 2016-17 pre-Budget'!$H$4</definedName>
    <definedName name="OtherWageIncreases16">'Health Vote 2016-17 pre-Budget'!$AK$4</definedName>
    <definedName name="OtherWageProportion16" localSheetId="0">'Health Vote 2016-17 pre-Budget'!$I$4</definedName>
    <definedName name="PopulationGrowth16" localSheetId="0">'Health Vote 2016-17 pre-Budget'!$O$4</definedName>
    <definedName name="ProductivityGrowth16" localSheetId="0">'Health Vote 2016-17 pre-Budget'!$Q$4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C62" i="1"/>
  <c r="C63" i="1"/>
  <c r="C64" i="1"/>
  <c r="C58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54" i="1"/>
  <c r="C8" i="1"/>
  <c r="C66" i="1"/>
  <c r="J8" i="1"/>
  <c r="K8" i="1"/>
  <c r="N4" i="1"/>
  <c r="N8" i="1"/>
  <c r="M4" i="1"/>
  <c r="M8" i="1"/>
  <c r="Q4" i="1"/>
  <c r="Q8" i="1"/>
  <c r="U8" i="1"/>
  <c r="D32" i="1"/>
  <c r="E4" i="1"/>
  <c r="E32" i="1"/>
  <c r="G4" i="1"/>
  <c r="G32" i="1"/>
  <c r="H32" i="1"/>
  <c r="I4" i="1"/>
  <c r="I32" i="1"/>
  <c r="J4" i="1"/>
  <c r="J32" i="1"/>
  <c r="K4" i="1"/>
  <c r="K32" i="1"/>
  <c r="L4" i="1"/>
  <c r="L32" i="1"/>
  <c r="M32" i="1"/>
  <c r="O32" i="1"/>
  <c r="P4" i="1"/>
  <c r="P32" i="1"/>
  <c r="Q32" i="1"/>
  <c r="D35" i="1"/>
  <c r="E35" i="1"/>
  <c r="G35" i="1"/>
  <c r="H35" i="1"/>
  <c r="I35" i="1"/>
  <c r="K35" i="1"/>
  <c r="L35" i="1"/>
  <c r="M35" i="1"/>
  <c r="O35" i="1"/>
  <c r="P35" i="1"/>
  <c r="Q35" i="1"/>
  <c r="J36" i="1"/>
  <c r="K36" i="1"/>
  <c r="N36" i="1"/>
  <c r="M36" i="1"/>
  <c r="P36" i="1"/>
  <c r="Q36" i="1"/>
  <c r="U36" i="1"/>
  <c r="J37" i="1"/>
  <c r="K37" i="1"/>
  <c r="N37" i="1"/>
  <c r="M37" i="1"/>
  <c r="P37" i="1"/>
  <c r="Q37" i="1"/>
  <c r="U37" i="1"/>
  <c r="J38" i="1"/>
  <c r="K38" i="1"/>
  <c r="N38" i="1"/>
  <c r="M38" i="1"/>
  <c r="P38" i="1"/>
  <c r="Q38" i="1"/>
  <c r="U38" i="1"/>
  <c r="K39" i="1"/>
  <c r="N39" i="1"/>
  <c r="M39" i="1"/>
  <c r="O39" i="1"/>
  <c r="P39" i="1"/>
  <c r="Q39" i="1"/>
  <c r="J40" i="1"/>
  <c r="K40" i="1"/>
  <c r="N40" i="1"/>
  <c r="M40" i="1"/>
  <c r="O40" i="1"/>
  <c r="P40" i="1"/>
  <c r="Q40" i="1"/>
  <c r="U40" i="1"/>
  <c r="J41" i="1"/>
  <c r="K41" i="1"/>
  <c r="N41" i="1"/>
  <c r="M41" i="1"/>
  <c r="O41" i="1"/>
  <c r="P41" i="1"/>
  <c r="Q41" i="1"/>
  <c r="U41" i="1"/>
  <c r="K42" i="1"/>
  <c r="N42" i="1"/>
  <c r="M42" i="1"/>
  <c r="O42" i="1"/>
  <c r="P42" i="1"/>
  <c r="Q42" i="1"/>
  <c r="J43" i="1"/>
  <c r="K43" i="1"/>
  <c r="N43" i="1"/>
  <c r="M43" i="1"/>
  <c r="O43" i="1"/>
  <c r="P43" i="1"/>
  <c r="Q43" i="1"/>
  <c r="U43" i="1"/>
  <c r="J44" i="1"/>
  <c r="K44" i="1"/>
  <c r="N44" i="1"/>
  <c r="M44" i="1"/>
  <c r="P44" i="1"/>
  <c r="Q44" i="1"/>
  <c r="U44" i="1"/>
  <c r="J45" i="1"/>
  <c r="K45" i="1"/>
  <c r="N45" i="1"/>
  <c r="M45" i="1"/>
  <c r="O45" i="1"/>
  <c r="P45" i="1"/>
  <c r="Q45" i="1"/>
  <c r="U45" i="1"/>
  <c r="K46" i="1"/>
  <c r="N46" i="1"/>
  <c r="M46" i="1"/>
  <c r="O46" i="1"/>
  <c r="P46" i="1"/>
  <c r="Q46" i="1"/>
  <c r="K47" i="1"/>
  <c r="N47" i="1"/>
  <c r="M47" i="1"/>
  <c r="O47" i="1"/>
  <c r="P47" i="1"/>
  <c r="Q47" i="1"/>
  <c r="K48" i="1"/>
  <c r="N48" i="1"/>
  <c r="M48" i="1"/>
  <c r="O48" i="1"/>
  <c r="P48" i="1"/>
  <c r="Q48" i="1"/>
  <c r="J49" i="1"/>
  <c r="K49" i="1"/>
  <c r="N49" i="1"/>
  <c r="M49" i="1"/>
  <c r="O49" i="1"/>
  <c r="P49" i="1"/>
  <c r="Q49" i="1"/>
  <c r="U49" i="1"/>
  <c r="J50" i="1"/>
  <c r="K50" i="1"/>
  <c r="N50" i="1"/>
  <c r="M50" i="1"/>
  <c r="O50" i="1"/>
  <c r="P50" i="1"/>
  <c r="Q50" i="1"/>
  <c r="U50" i="1"/>
  <c r="K51" i="1"/>
  <c r="N51" i="1"/>
  <c r="M51" i="1"/>
  <c r="O51" i="1"/>
  <c r="P51" i="1"/>
  <c r="Q51" i="1"/>
  <c r="U54" i="1" a="1"/>
  <c r="U58" i="1"/>
  <c r="C73" i="1"/>
  <c r="C74" i="1"/>
  <c r="C75" i="1"/>
  <c r="C76" i="1"/>
  <c r="C77" i="1"/>
  <c r="C78" i="1"/>
  <c r="C79" i="1"/>
  <c r="C80" i="1"/>
  <c r="C69" i="1"/>
  <c r="C70" i="1"/>
  <c r="C82" i="1"/>
  <c r="C84" i="1"/>
  <c r="R69" i="1"/>
  <c r="S69" i="1"/>
  <c r="U69" i="1"/>
  <c r="R79" i="1"/>
  <c r="S79" i="1"/>
  <c r="U79" i="1"/>
  <c r="X79" i="1"/>
  <c r="R78" i="1"/>
  <c r="S78" i="1"/>
  <c r="U78" i="1"/>
  <c r="X78" i="1"/>
  <c r="R77" i="1"/>
  <c r="S77" i="1"/>
  <c r="U77" i="1"/>
  <c r="X77" i="1"/>
  <c r="R76" i="1"/>
  <c r="S76" i="1"/>
  <c r="U76" i="1"/>
  <c r="X76" i="1"/>
  <c r="R75" i="1"/>
  <c r="S75" i="1"/>
  <c r="U75" i="1"/>
  <c r="X75" i="1"/>
  <c r="R74" i="1"/>
  <c r="S74" i="1"/>
  <c r="U74" i="1"/>
  <c r="X74" i="1"/>
  <c r="R73" i="1"/>
  <c r="S73" i="1"/>
  <c r="U73" i="1"/>
  <c r="X73" i="1"/>
  <c r="X70" i="1" a="1"/>
  <c r="X70" i="1"/>
  <c r="Z70" i="1"/>
  <c r="X69" i="1"/>
  <c r="W40" i="1"/>
  <c r="W52" i="1"/>
  <c r="W32" i="1"/>
  <c r="W54" i="1"/>
  <c r="W66" i="1"/>
  <c r="J63" i="1"/>
  <c r="K63" i="1"/>
  <c r="N63" i="1"/>
  <c r="M63" i="1"/>
  <c r="Q63" i="1"/>
  <c r="U63" i="1"/>
  <c r="X63" i="1"/>
  <c r="J62" i="1"/>
  <c r="K62" i="1"/>
  <c r="N62" i="1"/>
  <c r="M62" i="1"/>
  <c r="Q62" i="1"/>
  <c r="U62" i="1"/>
  <c r="X62" i="1"/>
  <c r="N61" i="1"/>
  <c r="U61" i="1"/>
  <c r="X61" i="1"/>
  <c r="X58" i="1" a="1"/>
  <c r="X58" i="1"/>
  <c r="Z58" i="1"/>
  <c r="Y58" i="1"/>
  <c r="X52" i="1" a="1"/>
  <c r="U52" i="1" a="1"/>
  <c r="X8" i="1"/>
  <c r="Y8" i="1"/>
  <c r="Z8" i="1"/>
  <c r="AK4" i="1"/>
  <c r="X64" i="1" a="1"/>
  <c r="X64" i="1"/>
  <c r="Z64" i="1"/>
  <c r="Y64" i="1"/>
  <c r="U82" i="1" a="1"/>
  <c r="U82" i="1"/>
  <c r="U64" i="1" a="1"/>
  <c r="U64" i="1"/>
  <c r="X80" i="1" a="1"/>
  <c r="X80" i="1"/>
  <c r="X82" i="1"/>
  <c r="Y82" i="1"/>
  <c r="Z80" i="1"/>
  <c r="Z82" i="1"/>
  <c r="AF4" i="1"/>
  <c r="J35" i="1"/>
  <c r="J39" i="1"/>
  <c r="U39" i="1"/>
  <c r="J42" i="1"/>
  <c r="U42" i="1"/>
  <c r="J46" i="1"/>
  <c r="U46" i="1"/>
  <c r="J47" i="1"/>
  <c r="U47" i="1"/>
  <c r="J48" i="1"/>
  <c r="U48" i="1"/>
  <c r="J51" i="1"/>
  <c r="U51" i="1"/>
  <c r="F35" i="1"/>
  <c r="U35" i="1"/>
  <c r="X52" i="1"/>
  <c r="Z52" i="1"/>
  <c r="Z53" i="1"/>
  <c r="X53" i="1"/>
  <c r="U52" i="1"/>
  <c r="F32" i="1"/>
  <c r="U32" i="1"/>
  <c r="X32" i="1"/>
  <c r="X33" i="1"/>
  <c r="X34" i="1"/>
  <c r="Z32" i="1"/>
  <c r="Z33" i="1"/>
  <c r="AG4" i="1"/>
  <c r="U54" i="1"/>
  <c r="Y54" i="1"/>
  <c r="Z54" i="1"/>
  <c r="Z66" i="1"/>
  <c r="B1" i="1"/>
  <c r="B2" i="1"/>
  <c r="B3" i="1"/>
  <c r="B5" i="1"/>
  <c r="Z67" i="1"/>
  <c r="X54" i="1"/>
  <c r="X66" i="1"/>
  <c r="X67" i="1"/>
  <c r="X68" i="1"/>
  <c r="U66" i="1"/>
  <c r="U84" i="1"/>
  <c r="Y66" i="1"/>
  <c r="Y84" i="1"/>
  <c r="Z84" i="1"/>
</calcChain>
</file>

<file path=xl/comments1.xml><?xml version="1.0" encoding="utf-8"?>
<comments xmlns="http://schemas.openxmlformats.org/spreadsheetml/2006/main">
  <authors>
    <author>Bill Rosenberg</author>
    <author>WJ Rosenberg</author>
    <author>Bill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0 to include non-demographic growth and productivity increase
1 to exclude them</t>
        </r>
      </text>
    </comment>
    <comment ref="D4" authorId="0" shapeId="0">
      <text>
        <r>
          <rPr>
            <b/>
            <sz val="9"/>
            <color indexed="81"/>
            <rFont val="Tahoma"/>
            <charset val="1"/>
          </rPr>
          <t>Bill Rosenberg:</t>
        </r>
        <r>
          <rPr>
            <sz val="9"/>
            <color indexed="81"/>
            <rFont val="Tahoma"/>
            <charset val="1"/>
          </rPr>
          <t xml:space="preserve">
Set to cost of settlements.
</t>
        </r>
      </text>
    </comment>
    <comment ref="E4" authorId="1" shapeId="0">
      <text>
        <r>
          <rPr>
            <sz val="8"/>
            <color indexed="81"/>
            <rFont val="Tahoma"/>
            <family val="2"/>
          </rPr>
          <t xml:space="preserve">
Estimated from DHB consolidated accounts. </t>
        </r>
      </text>
    </comment>
    <comment ref="F4" authorId="0" shapeId="0">
      <text>
        <r>
          <rPr>
            <b/>
            <sz val="9"/>
            <color indexed="81"/>
            <rFont val="Tahoma"/>
            <charset val="1"/>
          </rPr>
          <t>Bill Rosenberg:</t>
        </r>
        <r>
          <rPr>
            <sz val="9"/>
            <color indexed="81"/>
            <rFont val="Tahoma"/>
            <charset val="1"/>
          </rPr>
          <t xml:space="preserve">
Set to cost of settlements.
</t>
        </r>
      </text>
    </comment>
    <comment ref="G4" authorId="1" shapeId="0">
      <text>
        <r>
          <rPr>
            <sz val="8"/>
            <color indexed="81"/>
            <rFont val="Tahoma"/>
            <family val="2"/>
          </rPr>
          <t xml:space="preserve">
Estimated from DHB consolidated accounts. </t>
        </r>
      </text>
    </comment>
    <comment ref="H4" authorId="0" shapeId="0">
      <text>
        <r>
          <rPr>
            <b/>
            <sz val="9"/>
            <color indexed="81"/>
            <rFont val="Tahoma"/>
            <charset val="1"/>
          </rPr>
          <t>Bill Rosenberg:</t>
        </r>
        <r>
          <rPr>
            <sz val="9"/>
            <color indexed="81"/>
            <rFont val="Tahoma"/>
            <charset val="1"/>
          </rPr>
          <t xml:space="preserve">
Set to cost of settlements.
</t>
        </r>
      </text>
    </comment>
    <comment ref="I4" authorId="1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From DHB consolidated accounts. </t>
        </r>
      </text>
    </comment>
    <comment ref="J4" authorId="2" shapeId="0">
      <text>
        <r>
          <rPr>
            <b/>
            <sz val="9"/>
            <color indexed="81"/>
            <rFont val="Tahoma"/>
            <charset val="1"/>
          </rPr>
          <t>Bill:</t>
        </r>
        <r>
          <rPr>
            <sz val="9"/>
            <color indexed="81"/>
            <rFont val="Tahoma"/>
            <charset val="1"/>
          </rPr>
          <t xml:space="preserve">
Weighted average of areas of funding, from DHB Consolidated Accounts.</t>
        </r>
      </text>
    </comment>
    <comment ref="L4" authorId="1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With health sector, assume CPI.</t>
        </r>
      </text>
    </comment>
    <comment ref="N4" authorId="1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Assume CPI</t>
        </r>
      </text>
    </comment>
    <comment ref="O4" authorId="1" shapeId="0">
      <text>
        <r>
          <rPr>
            <sz val="8"/>
            <color indexed="81"/>
            <rFont val="Tahoma"/>
            <family val="2"/>
          </rPr>
          <t>From paper obtained by the Labour Party</t>
        </r>
      </text>
    </comment>
    <comment ref="P4" authorId="1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Treasury:Health Projections and Policy Options: Background paper for the 2013 statement on the long term fiscal position”, July 2013, p.20</t>
        </r>
      </text>
    </comment>
    <comment ref="Q4" authorId="1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Treasury assumes 0.3% in its long term fiscal forecasts.</t>
        </r>
      </text>
    </comment>
    <comment ref="S4" authorId="1" shapeId="0">
      <text>
        <r>
          <rPr>
            <b/>
            <sz val="8"/>
            <color indexed="81"/>
            <rFont val="Tahoma"/>
            <family val="2"/>
          </rPr>
          <t>WJ Rosenberg:</t>
        </r>
        <r>
          <rPr>
            <sz val="8"/>
            <color indexed="81"/>
            <rFont val="Tahoma"/>
            <family val="2"/>
          </rPr>
          <t xml:space="preserve">
Capital Goods price index in year to March 2016 rose 3.1%  </t>
        </r>
      </text>
    </comment>
    <comment ref="AB4" authorId="1" shapeId="0">
      <text>
        <r>
          <rPr>
            <sz val="8"/>
            <color indexed="81"/>
            <rFont val="Tahoma"/>
            <family val="2"/>
          </rPr>
          <t xml:space="preserve">
From Consolidated DHB Provider Arm Accounts. Assume it also applies to funded organisations and Ministry.</t>
        </r>
      </text>
    </comment>
    <comment ref="AC4" authorId="1" shapeId="0">
      <text>
        <r>
          <rPr>
            <sz val="8"/>
            <color indexed="81"/>
            <rFont val="Tahoma"/>
            <family val="2"/>
          </rPr>
          <t xml:space="preserve">
NZIER consensus forecast mean is 1.6% for the year to to March 2017.  Treasury forecasts 2.1% in year to March 2017 and 1.9% in year to June 2017 in HYEFU 2015.
RBNZ forecast for year to March 2017 is 1.3%, and 1.6% for year to June 2017 (March 2016 MPS)</t>
        </r>
      </text>
    </comment>
    <comment ref="AD4" authorId="1" shapeId="0">
      <text>
        <r>
          <rPr>
            <sz val="8"/>
            <color indexed="81"/>
            <rFont val="Tahoma"/>
            <family val="2"/>
          </rPr>
          <t xml:space="preserve">
Actual births rose 6.6% in year to December 2015.
(Statistics New Zealand, BD)
</t>
        </r>
      </text>
    </comment>
    <comment ref="AE4" authorId="1" shapeId="0">
      <text>
        <r>
          <rPr>
            <sz val="8"/>
            <color indexed="81"/>
            <rFont val="Tahoma"/>
            <family val="2"/>
          </rPr>
          <t xml:space="preserve">Growth has been -0.1% in years to June 2012 and 2013,  0.3% in the year to June 2014 and 0.5% in year to June 2015 (Statistics NZ NPE)
NPP shows average growth rate 2014-18 of -0.1% under "cyclic migration" scenario and 0.5% under "very high migration" scenario which assumes net migration of 25,000 in each year after 2016. It is currently much more than that.
</t>
        </r>
      </text>
    </comment>
    <comment ref="AF4" authorId="2" shapeId="0">
      <text>
        <r>
          <rPr>
            <b/>
            <sz val="9"/>
            <color indexed="81"/>
            <rFont val="Tahoma"/>
            <family val="2"/>
          </rPr>
          <t>Bill:</t>
        </r>
        <r>
          <rPr>
            <sz val="9"/>
            <color indexed="81"/>
            <rFont val="Tahoma"/>
            <family val="2"/>
          </rPr>
          <t xml:space="preserve">
Note: OIA response from DHB Shared Services stated $98.8m (or 2.42%) was aggregated cost of settlement for 2016/17</t>
        </r>
      </text>
    </comment>
    <comment ref="AH4" authorId="2" shapeId="0">
      <text>
        <r>
          <rPr>
            <sz val="9"/>
            <color indexed="81"/>
            <rFont val="Tahoma"/>
            <family val="2"/>
          </rPr>
          <t xml:space="preserve">
RBNZ, year to June 2017,  All Sal &amp; Wage Rates Private Sector, forecast made March 2016</t>
        </r>
      </text>
    </comment>
    <comment ref="AI4" authorId="2" shapeId="0">
      <text>
        <r>
          <rPr>
            <sz val="9"/>
            <color indexed="81"/>
            <rFont val="Tahoma"/>
            <family val="2"/>
          </rPr>
          <t xml:space="preserve">
Approximate from consolidated accounts</t>
        </r>
      </text>
    </comment>
    <comment ref="AJ4" authorId="0" shapeId="0">
      <text>
        <r>
          <rPr>
            <b/>
            <sz val="9"/>
            <color indexed="81"/>
            <rFont val="Tahoma"/>
            <family val="2"/>
          </rPr>
          <t>Bill Rosenberg:</t>
        </r>
        <r>
          <rPr>
            <sz val="9"/>
            <color indexed="81"/>
            <rFont val="Tahoma"/>
            <family val="2"/>
          </rPr>
          <t xml:space="preserve">
Minimum wage rose 3.4% as from 1 April 2016</t>
        </r>
      </text>
    </comment>
  </commentList>
</comments>
</file>

<file path=xl/sharedStrings.xml><?xml version="1.0" encoding="utf-8"?>
<sst xmlns="http://schemas.openxmlformats.org/spreadsheetml/2006/main" count="146" uniqueCount="112">
  <si>
    <t>Summary: additional operational funding required</t>
  </si>
  <si>
    <t>For 2016/17</t>
  </si>
  <si>
    <t>2015/16</t>
  </si>
  <si>
    <t>Medical salary increases</t>
  </si>
  <si>
    <t>Medical proportion of DHB expenditure</t>
  </si>
  <si>
    <t>Nursing salary increases</t>
  </si>
  <si>
    <t>Nursing proportion of DHB expenditure</t>
  </si>
  <si>
    <t>Other Wage  increases - DHB Provider</t>
  </si>
  <si>
    <t>Other Wage proportion of DHB provider expenditure</t>
  </si>
  <si>
    <t>Wage  increases in DHB funded services</t>
  </si>
  <si>
    <t>Other Wage proportion of DHB funded activities expenditure</t>
  </si>
  <si>
    <t>Non-labour health services cost increases</t>
  </si>
  <si>
    <t>Non-labour proportion</t>
  </si>
  <si>
    <t>Non-labour general cost increases</t>
  </si>
  <si>
    <t>Population growth, including ageing effect</t>
  </si>
  <si>
    <t>Non-demographic growth</t>
  </si>
  <si>
    <t>Productivity growth</t>
  </si>
  <si>
    <t>Capital Goods proportion</t>
  </si>
  <si>
    <t>Capital Goods price increase</t>
  </si>
  <si>
    <t>Total increases</t>
  </si>
  <si>
    <t>Additional costs identified for 2015/16</t>
  </si>
  <si>
    <t>Required</t>
  </si>
  <si>
    <t>Totals</t>
  </si>
  <si>
    <t>Increase Required</t>
  </si>
  <si>
    <t>Labour  proportion of expenditure</t>
  </si>
  <si>
    <t>CPI</t>
  </si>
  <si>
    <t>Increase in births</t>
  </si>
  <si>
    <t>Child popn growth (0 - 14 yrs old)</t>
  </si>
  <si>
    <t>DHB provider wage increase</t>
  </si>
  <si>
    <t>Total wage increase</t>
  </si>
  <si>
    <t>Forecast LCI</t>
  </si>
  <si>
    <t>Provider proportion of DHB expenditure</t>
  </si>
  <si>
    <t>Wage increases in high MinimumWage sectors</t>
  </si>
  <si>
    <t>Other wages increases</t>
  </si>
  <si>
    <t>Without 'new policy initiatives' and 'savings'</t>
  </si>
  <si>
    <t>$000</t>
  </si>
  <si>
    <t>%</t>
  </si>
  <si>
    <t>For sensitivity testing</t>
  </si>
  <si>
    <t>Parameters:</t>
  </si>
  <si>
    <t>Department operating appropriations</t>
  </si>
  <si>
    <t>Non-Departmental Output Expenses</t>
  </si>
  <si>
    <t>DHBs</t>
  </si>
  <si>
    <t>Auckland</t>
  </si>
  <si>
    <t>Bay of Plenty</t>
  </si>
  <si>
    <t>Canterbury</t>
  </si>
  <si>
    <t>Capital and Coast</t>
  </si>
  <si>
    <t>Counties-Manukau</t>
  </si>
  <si>
    <t>Hawkes Bay</t>
  </si>
  <si>
    <t>Hutt</t>
  </si>
  <si>
    <t>Lakes</t>
  </si>
  <si>
    <t>MidCentral</t>
  </si>
  <si>
    <t>Nelson-Marlborough</t>
  </si>
  <si>
    <t>Northland</t>
  </si>
  <si>
    <t>South Canterbury</t>
  </si>
  <si>
    <t>Southern</t>
  </si>
  <si>
    <t>Tairawhiti</t>
  </si>
  <si>
    <t>Taranaki</t>
  </si>
  <si>
    <t>Waikato</t>
  </si>
  <si>
    <t>Wairarapa</t>
  </si>
  <si>
    <t>Waitemata</t>
  </si>
  <si>
    <t>West Coast</t>
  </si>
  <si>
    <t>Whanganui</t>
  </si>
  <si>
    <t>Total DHBs</t>
  </si>
  <si>
    <t>Without additional costs</t>
  </si>
  <si>
    <t>Increase</t>
  </si>
  <si>
    <t>Health Services Funding</t>
  </si>
  <si>
    <t>Health Workforce Training and Development</t>
  </si>
  <si>
    <t>Monitoring and Protecting Health and Disability Consumer Interests</t>
  </si>
  <si>
    <t>National Advisory and Support Services</t>
  </si>
  <si>
    <t>National Child Health Services</t>
  </si>
  <si>
    <t>National Contracted Services - Other</t>
  </si>
  <si>
    <t>National Disability Support Services</t>
  </si>
  <si>
    <t>National Elective Services</t>
  </si>
  <si>
    <t>National Emergency Services</t>
  </si>
  <si>
    <t xml:space="preserve">National Health Information Systems </t>
  </si>
  <si>
    <t>National Māori Health Services</t>
  </si>
  <si>
    <t>National Maternity Services</t>
  </si>
  <si>
    <t>National Mental Health Services</t>
  </si>
  <si>
    <t>National Personal Health Services</t>
  </si>
  <si>
    <t>Primary Health Care Strategy</t>
  </si>
  <si>
    <t>Problem Gambling Services</t>
  </si>
  <si>
    <t>Public Health Service Purchasing</t>
  </si>
  <si>
    <t>Total non-DHB</t>
  </si>
  <si>
    <t>Total Non-Departmental Output Expenses</t>
  </si>
  <si>
    <t>Departmental Other Expenses</t>
  </si>
  <si>
    <t>Total Departmental Other Expenses</t>
  </si>
  <si>
    <t>Non-Departmental Other Expenses</t>
  </si>
  <si>
    <t>International Health Organisations</t>
  </si>
  <si>
    <t>Legal Expenses</t>
  </si>
  <si>
    <t>Provider Development</t>
  </si>
  <si>
    <t>Total Non-Departmental Other Expenses</t>
  </si>
  <si>
    <t>Total Operational Expenses</t>
  </si>
  <si>
    <t>Departmental Capital Expenditure</t>
  </si>
  <si>
    <t>Ministry of Health - Capital Expenditure PLA</t>
  </si>
  <si>
    <t>Total Departmental Capital Expenditure</t>
  </si>
  <si>
    <t>Non-Departmental Capital Expenditure</t>
  </si>
  <si>
    <t>Equity for Capital Projects for DHBs and Health Sector Crown Agencies</t>
  </si>
  <si>
    <t>Health Sector Projects</t>
  </si>
  <si>
    <t>Refinance of Crown Loans</t>
  </si>
  <si>
    <t>Refinance of DHB Private Debt</t>
  </si>
  <si>
    <t>Residential Care Loans</t>
  </si>
  <si>
    <t>Deficit Support for DHBs</t>
  </si>
  <si>
    <t>Loans for Capital Projects</t>
  </si>
  <si>
    <t>Total Non-Departmental Capital Expenditure</t>
  </si>
  <si>
    <t>Total Capital Expenditure</t>
  </si>
  <si>
    <t>Total Annual and Permanent Appropriations</t>
  </si>
  <si>
    <t>Source</t>
  </si>
  <si>
    <t>$ - 2016/17</t>
  </si>
  <si>
    <t>$ - four years</t>
  </si>
  <si>
    <t>PHARMAC funding from DHBs</t>
  </si>
  <si>
    <t>Additional PHARMAC funding</t>
  </si>
  <si>
    <t>Health Research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</si>
</sst>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&quot;as proportion of operating allowance of&quot;\ &quot;$&quot;0.0&quot;b&quot;"/>
    <numFmt numFmtId="166" formatCode="0.0%"/>
    <numFmt numFmtId="167" formatCode="#,##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164" fontId="4" fillId="0" borderId="0" xfId="1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Alignment="1">
      <alignment horizontal="left" vertical="top"/>
    </xf>
    <xf numFmtId="166" fontId="4" fillId="0" borderId="0" xfId="2" applyNumberFormat="1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166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center"/>
    </xf>
    <xf numFmtId="10" fontId="3" fillId="0" borderId="2" xfId="0" applyNumberFormat="1" applyFont="1" applyFill="1" applyBorder="1" applyAlignment="1">
      <alignment horizontal="center"/>
    </xf>
    <xf numFmtId="10" fontId="0" fillId="0" borderId="0" xfId="0" applyNumberFormat="1" applyFill="1"/>
    <xf numFmtId="0" fontId="0" fillId="0" borderId="0" xfId="0" applyFill="1"/>
    <xf numFmtId="6" fontId="0" fillId="0" borderId="0" xfId="0" applyNumberFormat="1" applyFill="1"/>
    <xf numFmtId="166" fontId="3" fillId="0" borderId="0" xfId="0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164" fontId="0" fillId="0" borderId="0" xfId="0" applyNumberFormat="1" applyFill="1"/>
    <xf numFmtId="49" fontId="3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left"/>
    </xf>
    <xf numFmtId="10" fontId="4" fillId="0" borderId="0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center"/>
    </xf>
    <xf numFmtId="10" fontId="0" fillId="0" borderId="0" xfId="0" applyNumberFormat="1"/>
    <xf numFmtId="0" fontId="0" fillId="0" borderId="0" xfId="0" applyFill="1" applyBorder="1"/>
    <xf numFmtId="3" fontId="3" fillId="0" borderId="0" xfId="0" applyNumberFormat="1" applyFont="1"/>
    <xf numFmtId="10" fontId="0" fillId="0" borderId="0" xfId="0" applyNumberFormat="1" applyFont="1"/>
    <xf numFmtId="166" fontId="0" fillId="0" borderId="0" xfId="0" applyNumberFormat="1"/>
    <xf numFmtId="3" fontId="0" fillId="0" borderId="0" xfId="0" applyNumberFormat="1" applyFont="1"/>
    <xf numFmtId="3" fontId="4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0" xfId="0" applyNumberFormat="1" applyBorder="1"/>
    <xf numFmtId="0" fontId="0" fillId="0" borderId="0" xfId="0" applyAlignment="1">
      <alignment horizontal="left" indent="1"/>
    </xf>
    <xf numFmtId="3" fontId="0" fillId="0" borderId="0" xfId="0" applyNumberFormat="1" applyFont="1" applyBorder="1"/>
    <xf numFmtId="0" fontId="0" fillId="0" borderId="0" xfId="0" applyAlignment="1">
      <alignment horizontal="left" indent="2"/>
    </xf>
    <xf numFmtId="166" fontId="0" fillId="0" borderId="0" xfId="0" applyNumberFormat="1" applyBorder="1"/>
    <xf numFmtId="3" fontId="4" fillId="0" borderId="0" xfId="0" applyNumberFormat="1" applyFont="1" applyBorder="1"/>
    <xf numFmtId="0" fontId="0" fillId="0" borderId="1" xfId="0" applyBorder="1" applyAlignment="1">
      <alignment horizontal="left" indent="2"/>
    </xf>
    <xf numFmtId="3" fontId="0" fillId="0" borderId="1" xfId="0" applyNumberFormat="1" applyFont="1" applyBorder="1"/>
    <xf numFmtId="3" fontId="3" fillId="0" borderId="0" xfId="0" applyNumberFormat="1" applyFont="1" applyBorder="1"/>
    <xf numFmtId="3" fontId="0" fillId="0" borderId="0" xfId="0" applyNumberFormat="1" applyFont="1" applyFill="1" applyBorder="1"/>
    <xf numFmtId="0" fontId="3" fillId="0" borderId="0" xfId="0" applyFont="1" applyAlignment="1">
      <alignment horizontal="left" indent="2"/>
    </xf>
    <xf numFmtId="10" fontId="3" fillId="0" borderId="0" xfId="0" applyNumberFormat="1" applyFont="1"/>
    <xf numFmtId="3" fontId="3" fillId="0" borderId="0" xfId="0" applyNumberFormat="1" applyFont="1" applyFill="1"/>
    <xf numFmtId="10" fontId="4" fillId="0" borderId="0" xfId="0" applyNumberFormat="1" applyFont="1" applyAlignment="1">
      <alignment horizontal="center"/>
    </xf>
    <xf numFmtId="3" fontId="4" fillId="0" borderId="0" xfId="0" applyNumberFormat="1" applyFont="1"/>
    <xf numFmtId="10" fontId="1" fillId="0" borderId="0" xfId="2" applyNumberFormat="1" applyFont="1"/>
    <xf numFmtId="10" fontId="4" fillId="0" borderId="0" xfId="0" applyNumberFormat="1" applyFont="1" applyAlignment="1">
      <alignment horizontal="left"/>
    </xf>
    <xf numFmtId="3" fontId="0" fillId="0" borderId="0" xfId="0" applyNumberFormat="1" applyAlignment="1">
      <alignment horizontal="left" indent="1"/>
    </xf>
    <xf numFmtId="0" fontId="0" fillId="0" borderId="1" xfId="0" applyBorder="1" applyAlignment="1">
      <alignment horizontal="left" indent="1"/>
    </xf>
    <xf numFmtId="10" fontId="0" fillId="0" borderId="1" xfId="0" applyNumberFormat="1" applyBorder="1"/>
    <xf numFmtId="10" fontId="0" fillId="0" borderId="1" xfId="0" applyNumberFormat="1" applyFont="1" applyBorder="1"/>
    <xf numFmtId="166" fontId="0" fillId="0" borderId="1" xfId="0" applyNumberFormat="1" applyBorder="1"/>
    <xf numFmtId="0" fontId="3" fillId="0" borderId="0" xfId="0" applyFont="1" applyAlignment="1">
      <alignment horizontal="left" indent="1"/>
    </xf>
    <xf numFmtId="10" fontId="3" fillId="0" borderId="0" xfId="0" applyNumberFormat="1" applyFont="1" applyBorder="1"/>
    <xf numFmtId="10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10" fontId="1" fillId="0" borderId="1" xfId="2" applyNumberFormat="1" applyFont="1" applyBorder="1"/>
    <xf numFmtId="0" fontId="3" fillId="0" borderId="2" xfId="0" applyFont="1" applyBorder="1"/>
    <xf numFmtId="3" fontId="3" fillId="0" borderId="2" xfId="0" applyNumberFormat="1" applyFont="1" applyBorder="1"/>
    <xf numFmtId="0" fontId="3" fillId="0" borderId="0" xfId="0" applyFont="1" applyBorder="1"/>
    <xf numFmtId="0" fontId="3" fillId="0" borderId="3" xfId="0" applyFont="1" applyBorder="1"/>
    <xf numFmtId="3" fontId="3" fillId="0" borderId="3" xfId="0" applyNumberFormat="1" applyFont="1" applyBorder="1"/>
    <xf numFmtId="10" fontId="0" fillId="0" borderId="3" xfId="0" applyNumberFormat="1" applyBorder="1"/>
    <xf numFmtId="10" fontId="3" fillId="0" borderId="3" xfId="0" applyNumberFormat="1" applyFont="1" applyBorder="1"/>
    <xf numFmtId="166" fontId="0" fillId="0" borderId="3" xfId="0" applyNumberFormat="1" applyBorder="1"/>
    <xf numFmtId="167" fontId="3" fillId="0" borderId="0" xfId="0" applyNumberFormat="1" applyFont="1" applyFill="1" applyBorder="1"/>
    <xf numFmtId="10" fontId="4" fillId="0" borderId="0" xfId="0" applyNumberFormat="1" applyFont="1"/>
    <xf numFmtId="0" fontId="0" fillId="0" borderId="0" xfId="0" applyFont="1"/>
    <xf numFmtId="0" fontId="0" fillId="0" borderId="3" xfId="0" applyBorder="1"/>
    <xf numFmtId="0" fontId="3" fillId="0" borderId="4" xfId="0" applyFont="1" applyBorder="1"/>
    <xf numFmtId="3" fontId="3" fillId="0" borderId="4" xfId="0" applyNumberFormat="1" applyFont="1" applyBorder="1"/>
    <xf numFmtId="10" fontId="0" fillId="0" borderId="4" xfId="0" applyNumberFormat="1" applyBorder="1"/>
    <xf numFmtId="10" fontId="3" fillId="0" borderId="4" xfId="0" applyNumberFormat="1" applyFont="1" applyBorder="1"/>
    <xf numFmtId="0" fontId="0" fillId="0" borderId="4" xfId="0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0" fillId="0" borderId="0" xfId="0" applyAlignment="1"/>
    <xf numFmtId="2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ealth%20Sector%20-%202016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ed to Total Exp, GDP"/>
      <sheetName val="Multiyear"/>
      <sheetName val="Official shortfall ests"/>
      <sheetName val="Health Vote 2016-17 pre-Budget"/>
      <sheetName val="Notes 2016-17 pre-Budget"/>
      <sheetName val="MOH financial report 2015"/>
      <sheetName val="Health Vote 2015-16"/>
      <sheetName val="2015 Health appropriations"/>
      <sheetName val="Health Vote 2015-16 pre-Budget"/>
      <sheetName val="Health Vote 2014-15"/>
      <sheetName val="2014 Health appropriations"/>
      <sheetName val="Health Vote 2014-15 pre-Budget"/>
      <sheetName val="Labour-Infometrics"/>
      <sheetName val="Employees"/>
      <sheetName val="Health Vote 2013-14"/>
      <sheetName val="Health Vote 2013-14 pre-Budget"/>
      <sheetName val="2013 Health appropriations"/>
      <sheetName val="HBL"/>
      <sheetName val="Population, ageing"/>
      <sheetName val="Ministry est 2012-13"/>
      <sheetName val="Health Vote 2012-13"/>
      <sheetName val="2012 Health appropriations"/>
      <sheetName val="2012 Health initiatives"/>
      <sheetName val="Supplementary Estimates 2011-12"/>
      <sheetName val="Health Vote 2011-12"/>
      <sheetName val="2011 Health appropriations"/>
      <sheetName val="2011 Health initiatives"/>
      <sheetName val="Supplementary Estimates 2010-11"/>
      <sheetName val="Health Vote 2010-11 - post"/>
      <sheetName val="Health Vote 2010-11"/>
      <sheetName val="2010 Health appropriations"/>
      <sheetName val="2010 New Policy initiatives"/>
      <sheetName val="2009 New Policy Initiatives"/>
      <sheetName val="2008 New Policy Initiatives"/>
      <sheetName val="2007 New Policy Initiatives"/>
      <sheetName val="2006 New Policy Initiatives"/>
      <sheetName val="DHB Financial perf sample"/>
      <sheetName val="Consolidated DHB Personnel Exp"/>
      <sheetName val="Personnel costs"/>
      <sheetName val="Calc"/>
      <sheetName val="Average wage"/>
      <sheetName val="LCI"/>
      <sheetName val="Wage aggregates"/>
      <sheetName val="Data"/>
      <sheetName val="Health CPI, PPI, Cap Goods PI"/>
    </sheetNames>
    <sheetDataSet>
      <sheetData sheetId="0"/>
      <sheetData sheetId="1"/>
      <sheetData sheetId="2"/>
      <sheetData sheetId="3"/>
      <sheetData sheetId="4">
        <row r="68">
          <cell r="C68">
            <v>2.5493909110655667E-2</v>
          </cell>
        </row>
      </sheetData>
      <sheetData sheetId="5"/>
      <sheetData sheetId="6">
        <row r="8">
          <cell r="AD8">
            <v>192432</v>
          </cell>
        </row>
        <row r="12">
          <cell r="AD12">
            <v>1115555</v>
          </cell>
        </row>
        <row r="13">
          <cell r="AD13">
            <v>633648</v>
          </cell>
        </row>
        <row r="14">
          <cell r="AD14">
            <v>1281426</v>
          </cell>
        </row>
        <row r="15">
          <cell r="AD15">
            <v>689554</v>
          </cell>
        </row>
        <row r="16">
          <cell r="AD16">
            <v>1268476</v>
          </cell>
        </row>
        <row r="17">
          <cell r="AD17">
            <v>457128</v>
          </cell>
        </row>
        <row r="18">
          <cell r="AD18">
            <v>363557</v>
          </cell>
        </row>
        <row r="19">
          <cell r="AD19">
            <v>283482</v>
          </cell>
        </row>
        <row r="20">
          <cell r="AD20">
            <v>465870</v>
          </cell>
        </row>
        <row r="21">
          <cell r="AD21">
            <v>393161</v>
          </cell>
        </row>
        <row r="22">
          <cell r="AD22">
            <v>509308</v>
          </cell>
        </row>
        <row r="23">
          <cell r="AD23">
            <v>167378</v>
          </cell>
        </row>
        <row r="24">
          <cell r="AD24">
            <v>789623</v>
          </cell>
        </row>
        <row r="25">
          <cell r="AD25">
            <v>146813</v>
          </cell>
        </row>
        <row r="26">
          <cell r="AD26">
            <v>317712</v>
          </cell>
        </row>
        <row r="27">
          <cell r="AD27">
            <v>1040100</v>
          </cell>
        </row>
        <row r="28">
          <cell r="AD28">
            <v>127817</v>
          </cell>
        </row>
        <row r="29">
          <cell r="AD29">
            <v>1342072</v>
          </cell>
        </row>
        <row r="30">
          <cell r="AD30">
            <v>121511</v>
          </cell>
        </row>
        <row r="31">
          <cell r="AD31">
            <v>205636</v>
          </cell>
        </row>
        <row r="35">
          <cell r="AD35">
            <v>55000</v>
          </cell>
        </row>
        <row r="36">
          <cell r="AD36">
            <v>174250</v>
          </cell>
        </row>
        <row r="37">
          <cell r="AD37">
            <v>27096</v>
          </cell>
        </row>
        <row r="38">
          <cell r="AD38">
            <v>260</v>
          </cell>
        </row>
        <row r="39">
          <cell r="AD39">
            <v>87048</v>
          </cell>
        </row>
        <row r="40">
          <cell r="AD40">
            <v>45378</v>
          </cell>
        </row>
        <row r="41">
          <cell r="AD41">
            <v>1158113</v>
          </cell>
        </row>
        <row r="42">
          <cell r="AD42">
            <v>316512</v>
          </cell>
        </row>
        <row r="43">
          <cell r="AD43">
            <v>96440</v>
          </cell>
        </row>
        <row r="44">
          <cell r="AD44">
            <v>14887</v>
          </cell>
        </row>
        <row r="45">
          <cell r="AD45">
            <v>7308</v>
          </cell>
        </row>
        <row r="46">
          <cell r="AD46">
            <v>146767</v>
          </cell>
        </row>
        <row r="47">
          <cell r="AD47">
            <v>55797</v>
          </cell>
        </row>
        <row r="48">
          <cell r="AD48">
            <v>77933</v>
          </cell>
        </row>
        <row r="49">
          <cell r="AD49">
            <v>172130</v>
          </cell>
        </row>
        <row r="50">
          <cell r="AD50">
            <v>17130</v>
          </cell>
        </row>
        <row r="51">
          <cell r="AD51">
            <v>427491</v>
          </cell>
        </row>
        <row r="61">
          <cell r="AD61">
            <v>2030</v>
          </cell>
        </row>
        <row r="62">
          <cell r="AD62">
            <v>1028</v>
          </cell>
        </row>
        <row r="63">
          <cell r="AD63">
            <v>25414</v>
          </cell>
        </row>
        <row r="69">
          <cell r="AD69">
            <v>15010</v>
          </cell>
        </row>
        <row r="73">
          <cell r="AD73">
            <v>304000</v>
          </cell>
        </row>
        <row r="74">
          <cell r="AD74">
            <v>390000</v>
          </cell>
        </row>
        <row r="75">
          <cell r="AD75">
            <v>200100</v>
          </cell>
        </row>
        <row r="76">
          <cell r="AD76">
            <v>50000</v>
          </cell>
        </row>
        <row r="77">
          <cell r="AD77">
            <v>15000</v>
          </cell>
        </row>
        <row r="78">
          <cell r="AD78">
            <v>55000</v>
          </cell>
        </row>
        <row r="79">
          <cell r="AD79">
            <v>74000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96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3" sqref="E13"/>
    </sheetView>
  </sheetViews>
  <sheetFormatPr defaultRowHeight="15" x14ac:dyDescent="0.25"/>
  <cols>
    <col min="1" max="1" width="62.140625" customWidth="1"/>
    <col min="2" max="2" width="14.7109375" customWidth="1"/>
    <col min="3" max="3" width="13.140625" customWidth="1"/>
    <col min="4" max="4" width="11.42578125" customWidth="1"/>
    <col min="5" max="5" width="11.85546875" customWidth="1"/>
    <col min="6" max="6" width="11.42578125" customWidth="1"/>
    <col min="7" max="7" width="11.85546875" customWidth="1"/>
    <col min="8" max="8" width="11.42578125" customWidth="1"/>
    <col min="9" max="9" width="12.140625" customWidth="1"/>
    <col min="10" max="10" width="11.42578125" customWidth="1"/>
    <col min="11" max="11" width="12.140625" customWidth="1"/>
    <col min="12" max="12" width="12.5703125" customWidth="1"/>
    <col min="13" max="14" width="12.85546875" customWidth="1"/>
    <col min="15" max="15" width="11" customWidth="1"/>
    <col min="16" max="19" width="13.85546875" customWidth="1"/>
    <col min="20" max="20" width="2.7109375" customWidth="1"/>
    <col min="21" max="21" width="15.28515625" bestFit="1" customWidth="1"/>
    <col min="22" max="22" width="2.7109375" customWidth="1"/>
    <col min="23" max="23" width="10" customWidth="1"/>
    <col min="24" max="24" width="13.140625" customWidth="1"/>
    <col min="25" max="26" width="11.140625" customWidth="1"/>
    <col min="27" max="27" width="3.140625" customWidth="1"/>
    <col min="28" max="28" width="16.28515625" customWidth="1"/>
    <col min="29" max="29" width="11.42578125" customWidth="1"/>
    <col min="30" max="30" width="10.28515625" customWidth="1"/>
    <col min="31" max="31" width="10" customWidth="1"/>
    <col min="32" max="32" width="10.140625" bestFit="1" customWidth="1"/>
    <col min="35" max="35" width="12" customWidth="1"/>
    <col min="36" max="36" width="11" customWidth="1"/>
    <col min="37" max="37" width="11.140625" bestFit="1" customWidth="1"/>
    <col min="38" max="38" width="9.42578125" bestFit="1" customWidth="1"/>
    <col min="39" max="39" width="11.28515625" bestFit="1" customWidth="1"/>
    <col min="40" max="40" width="10.28515625" bestFit="1" customWidth="1"/>
    <col min="41" max="41" width="11.28515625" bestFit="1" customWidth="1"/>
    <col min="42" max="42" width="11" customWidth="1"/>
  </cols>
  <sheetData>
    <row r="1" spans="1:37" ht="36" customHeight="1" x14ac:dyDescent="0.35">
      <c r="A1" s="1" t="s">
        <v>0</v>
      </c>
      <c r="B1" s="2">
        <f>Z66*1000</f>
        <v>751151114.35154688</v>
      </c>
      <c r="C1">
        <v>1</v>
      </c>
      <c r="D1" s="3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</row>
    <row r="2" spans="1:37" ht="97.5" customHeight="1" x14ac:dyDescent="0.25">
      <c r="A2" s="5">
        <v>1</v>
      </c>
      <c r="B2" s="6">
        <f>B1/(A2*10^9)</f>
        <v>0.75115111435154691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10"/>
      <c r="U2" s="11" t="s">
        <v>19</v>
      </c>
      <c r="V2" s="11"/>
      <c r="W2" s="11" t="s">
        <v>20</v>
      </c>
      <c r="X2" s="11" t="s">
        <v>21</v>
      </c>
      <c r="Y2" s="11" t="s">
        <v>22</v>
      </c>
      <c r="Z2" s="11" t="s">
        <v>23</v>
      </c>
      <c r="AA2" s="11"/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</row>
    <row r="3" spans="1:37" x14ac:dyDescent="0.25">
      <c r="A3" s="1" t="s">
        <v>34</v>
      </c>
      <c r="B3" s="2">
        <f>B1-W66*1000</f>
        <v>691151114.35154688</v>
      </c>
      <c r="C3" s="12" t="s">
        <v>35</v>
      </c>
      <c r="D3" s="13" t="s">
        <v>36</v>
      </c>
      <c r="E3" s="13" t="s">
        <v>36</v>
      </c>
      <c r="F3" s="13" t="s">
        <v>36</v>
      </c>
      <c r="G3" s="13" t="s">
        <v>36</v>
      </c>
      <c r="H3" s="13" t="s">
        <v>36</v>
      </c>
      <c r="I3" s="13" t="s">
        <v>36</v>
      </c>
      <c r="J3" s="13" t="s">
        <v>36</v>
      </c>
      <c r="K3" s="13" t="s">
        <v>36</v>
      </c>
      <c r="L3" s="13" t="s">
        <v>36</v>
      </c>
      <c r="M3" s="13" t="s">
        <v>36</v>
      </c>
      <c r="N3" s="13" t="s">
        <v>36</v>
      </c>
      <c r="O3" s="14" t="s">
        <v>36</v>
      </c>
      <c r="P3" s="14" t="s">
        <v>36</v>
      </c>
      <c r="Q3" s="14"/>
      <c r="R3" s="14"/>
      <c r="S3" s="14" t="s">
        <v>36</v>
      </c>
      <c r="T3" s="15"/>
      <c r="U3" s="14" t="s">
        <v>36</v>
      </c>
      <c r="V3" s="14"/>
      <c r="W3" s="16" t="s">
        <v>35</v>
      </c>
      <c r="X3" s="16" t="s">
        <v>35</v>
      </c>
      <c r="Y3" s="16" t="s">
        <v>35</v>
      </c>
      <c r="Z3" s="16" t="s">
        <v>35</v>
      </c>
      <c r="AA3" s="16"/>
      <c r="AB3" s="14" t="s">
        <v>36</v>
      </c>
      <c r="AC3" s="12" t="s">
        <v>36</v>
      </c>
      <c r="AD3" s="12" t="s">
        <v>36</v>
      </c>
      <c r="AE3" s="12" t="s">
        <v>36</v>
      </c>
      <c r="AF3" s="15"/>
      <c r="AG3" s="17"/>
      <c r="AH3" s="15"/>
      <c r="AI3" s="15"/>
      <c r="AJ3" s="13" t="s">
        <v>36</v>
      </c>
      <c r="AK3" s="13" t="s">
        <v>36</v>
      </c>
    </row>
    <row r="4" spans="1:37" x14ac:dyDescent="0.25">
      <c r="A4" s="1" t="s">
        <v>37</v>
      </c>
      <c r="B4" s="2">
        <v>751151114.35154688</v>
      </c>
      <c r="C4" s="18" t="s">
        <v>38</v>
      </c>
      <c r="D4" s="19">
        <v>2.4156418276994194E-2</v>
      </c>
      <c r="E4" s="19">
        <f>DHBProviderProportion16*19.3%</f>
        <v>0.10769400000000001</v>
      </c>
      <c r="F4" s="19">
        <v>2.4156418276994194E-2</v>
      </c>
      <c r="G4" s="19">
        <f>DHBProviderProportion16*24%</f>
        <v>0.13392000000000001</v>
      </c>
      <c r="H4" s="19">
        <v>2.4156418276994194E-2</v>
      </c>
      <c r="I4" s="19">
        <f>DHBProviderProportion16*19.1%</f>
        <v>0.10657800000000001</v>
      </c>
      <c r="J4" s="19">
        <f>'[1]Notes 2016-17 pre-Budget'!C68</f>
        <v>2.5493909110655667E-2</v>
      </c>
      <c r="K4" s="19">
        <f>(1-DHBProviderProportion16)*LabourProportion16</f>
        <v>0.27632308223065183</v>
      </c>
      <c r="L4" s="19">
        <f>_CPI16</f>
        <v>1.6E-2</v>
      </c>
      <c r="M4" s="20">
        <f>1-LabourProportion16</f>
        <v>0.37483465558676043</v>
      </c>
      <c r="N4" s="20">
        <f>_CPI16</f>
        <v>1.6E-2</v>
      </c>
      <c r="O4" s="20">
        <v>2.5700000000000001E-2</v>
      </c>
      <c r="P4" s="19">
        <f>IF(NDGandProdSwitch16=0,1,0)*1.5%</f>
        <v>0</v>
      </c>
      <c r="Q4" s="19">
        <f>IF(NDGandProdSwitch16=0,1,0)*0.3%</f>
        <v>0</v>
      </c>
      <c r="R4" s="19">
        <v>1</v>
      </c>
      <c r="S4" s="19">
        <v>3.1E-2</v>
      </c>
      <c r="T4" s="21"/>
      <c r="U4" s="21"/>
      <c r="V4" s="22"/>
      <c r="W4" s="22"/>
      <c r="X4" s="23"/>
      <c r="Y4" s="22"/>
      <c r="Z4" s="22"/>
      <c r="AA4" s="22"/>
      <c r="AB4" s="24">
        <v>0.62516534441323957</v>
      </c>
      <c r="AC4" s="25">
        <v>1.6E-2</v>
      </c>
      <c r="AD4" s="25">
        <v>0.06</v>
      </c>
      <c r="AE4" s="25">
        <v>5.0000000000000001E-3</v>
      </c>
      <c r="AF4" s="25">
        <f>(MedicalSalaryIncreases16*MedicalProportion16+NursingSalaryIncrease16*NursingProportion16+OtherDHBWageIncreases16*OtherWageProportion16)/(MedicalProportion16+NursingProportion16+OtherWageProportion16)</f>
        <v>2.4156418276994194E-2</v>
      </c>
      <c r="AG4" s="25">
        <f>(MedicalSalaryIncreases16*MedicalProportion16+NursingSalaryIncrease16*NursingProportion16+OtherDHBWageIncreases16*OtherWageProportion16+DHBFundedWageIncreases16*DHBFundedProportion16)/LabourProportion16</f>
        <v>2.4722463064189515E-2</v>
      </c>
      <c r="AH4" s="25">
        <v>1.7999999999999999E-2</v>
      </c>
      <c r="AI4" s="25">
        <v>0.55800000000000005</v>
      </c>
      <c r="AJ4" s="20">
        <v>0.03</v>
      </c>
      <c r="AK4" s="20">
        <f>_LCI16</f>
        <v>1.7999999999999999E-2</v>
      </c>
    </row>
    <row r="5" spans="1:37" x14ac:dyDescent="0.25">
      <c r="B5" s="26">
        <f>B4-B1</f>
        <v>0</v>
      </c>
      <c r="C5" s="27"/>
      <c r="D5" s="28"/>
      <c r="E5" s="29"/>
      <c r="F5" s="29"/>
      <c r="G5" s="29"/>
      <c r="H5" s="30"/>
      <c r="I5" s="30"/>
      <c r="J5" s="30"/>
      <c r="K5" s="30"/>
      <c r="L5" s="30"/>
      <c r="M5" s="30"/>
      <c r="N5" s="30"/>
      <c r="O5" s="19"/>
      <c r="P5" s="19"/>
      <c r="Q5" s="19"/>
      <c r="R5" s="19"/>
      <c r="S5" s="19"/>
      <c r="T5" s="31"/>
      <c r="U5" s="31"/>
      <c r="AB5" s="10"/>
      <c r="AC5" s="32"/>
      <c r="AD5" s="10"/>
      <c r="AE5" s="10"/>
      <c r="AF5" s="10"/>
      <c r="AG5" s="10"/>
      <c r="AH5" s="10"/>
      <c r="AI5" s="10"/>
    </row>
    <row r="6" spans="1:37" x14ac:dyDescent="0.25">
      <c r="C6" s="27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19"/>
      <c r="P6" s="19"/>
      <c r="Q6" s="19"/>
      <c r="R6" s="19"/>
      <c r="S6" s="19"/>
      <c r="T6" s="31"/>
      <c r="U6" s="31"/>
      <c r="AB6" s="10"/>
      <c r="AC6" s="10"/>
      <c r="AD6" s="10"/>
      <c r="AE6" s="10"/>
      <c r="AF6" s="10"/>
      <c r="AG6" s="10"/>
      <c r="AH6" s="10"/>
      <c r="AI6" s="10"/>
    </row>
    <row r="7" spans="1:37" x14ac:dyDescent="0.25">
      <c r="C7" s="27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19"/>
      <c r="P7" s="19"/>
      <c r="Q7" s="19"/>
      <c r="R7" s="19"/>
      <c r="S7" s="19"/>
      <c r="T7" s="31"/>
      <c r="U7" s="31"/>
      <c r="AB7" s="10"/>
      <c r="AC7" s="10"/>
      <c r="AD7" s="10"/>
      <c r="AE7" s="10"/>
      <c r="AF7" s="10"/>
      <c r="AG7" s="10"/>
      <c r="AH7" s="10"/>
      <c r="AI7" s="10"/>
    </row>
    <row r="8" spans="1:37" x14ac:dyDescent="0.25">
      <c r="A8" s="7" t="s">
        <v>39</v>
      </c>
      <c r="B8" s="7"/>
      <c r="C8" s="33">
        <f>'[1]Health Vote 2015-16'!AD8</f>
        <v>192432</v>
      </c>
      <c r="D8" s="31"/>
      <c r="E8" s="31"/>
      <c r="F8" s="31"/>
      <c r="G8" s="31"/>
      <c r="H8" s="31"/>
      <c r="I8" s="31"/>
      <c r="J8" s="31">
        <f>_LCI16</f>
        <v>1.7999999999999999E-2</v>
      </c>
      <c r="K8" s="31">
        <f>LabourProportion16</f>
        <v>0.62516534441323957</v>
      </c>
      <c r="L8" s="31"/>
      <c r="M8" s="31">
        <f>NonLabourProportion16</f>
        <v>0.37483465558676043</v>
      </c>
      <c r="N8" s="31">
        <f>NonLabourGeneralCostIncreases16</f>
        <v>1.6E-2</v>
      </c>
      <c r="O8" s="31"/>
      <c r="P8" s="31"/>
      <c r="Q8" s="31">
        <f>ProductivityGrowth16</f>
        <v>0</v>
      </c>
      <c r="R8" s="31"/>
      <c r="S8" s="31"/>
      <c r="T8" s="31"/>
      <c r="U8" s="34">
        <f>((1+D8)*E8+(1+F8)*G8+(1+H8)*I8+(1+J8)*K8+(1+L8+N8)*M8)*(1+O8)*(1+P8)*(1-Q8)+R8*(1+S8)-1</f>
        <v>1.7250330688826532E-2</v>
      </c>
      <c r="V8" s="35"/>
      <c r="W8" s="36"/>
      <c r="X8" s="36">
        <f>C8*(1+U8)+W8</f>
        <v>195751.51563511227</v>
      </c>
      <c r="Y8" s="33">
        <f>X8</f>
        <v>195751.51563511227</v>
      </c>
      <c r="Z8" s="33">
        <f>Y8-C8</f>
        <v>3319.5156351122714</v>
      </c>
      <c r="AA8" s="33"/>
      <c r="AB8" s="10"/>
      <c r="AC8" s="10"/>
      <c r="AD8" s="10"/>
      <c r="AE8" s="10"/>
      <c r="AF8" s="10"/>
      <c r="AG8" s="10"/>
      <c r="AH8" s="10"/>
      <c r="AI8" s="10"/>
    </row>
    <row r="9" spans="1:37" x14ac:dyDescent="0.25"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X9" s="36"/>
      <c r="Y9" s="37"/>
      <c r="Z9" s="38"/>
      <c r="AA9" s="10"/>
      <c r="AB9" s="10"/>
      <c r="AC9" s="10"/>
      <c r="AD9" s="10"/>
      <c r="AE9" s="10"/>
      <c r="AF9" s="10"/>
      <c r="AG9" s="10"/>
      <c r="AH9" s="10"/>
      <c r="AI9" s="10"/>
    </row>
    <row r="10" spans="1:37" x14ac:dyDescent="0.25">
      <c r="A10" s="7" t="s">
        <v>40</v>
      </c>
      <c r="B10" s="7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AB10" s="39"/>
      <c r="AC10" s="10"/>
      <c r="AD10" s="10"/>
      <c r="AE10" s="10"/>
      <c r="AF10" s="10"/>
      <c r="AG10" s="10"/>
      <c r="AH10" s="10"/>
      <c r="AI10" s="10"/>
    </row>
    <row r="11" spans="1:37" x14ac:dyDescent="0.25">
      <c r="A11" s="40" t="s">
        <v>41</v>
      </c>
      <c r="B11" s="4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AB11" s="41"/>
      <c r="AC11" s="10"/>
      <c r="AD11" s="10"/>
      <c r="AE11" s="10"/>
      <c r="AF11" s="10"/>
      <c r="AG11" s="10"/>
      <c r="AH11" s="10"/>
      <c r="AI11" s="10"/>
    </row>
    <row r="12" spans="1:37" x14ac:dyDescent="0.25">
      <c r="A12" s="42" t="s">
        <v>42</v>
      </c>
      <c r="B12" s="42"/>
      <c r="C12" s="36">
        <f>'[1]Health Vote 2015-16'!AD12</f>
        <v>1115555</v>
      </c>
      <c r="D12" s="38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6"/>
      <c r="Q12" s="31"/>
      <c r="R12" s="31"/>
      <c r="S12" s="31"/>
      <c r="T12" s="31"/>
      <c r="U12" s="31"/>
      <c r="V12" s="35"/>
      <c r="W12" s="35"/>
      <c r="X12" s="36"/>
      <c r="Y12" s="36"/>
      <c r="Z12" s="35"/>
      <c r="AA12" s="35"/>
      <c r="AB12" s="41"/>
      <c r="AC12" s="10"/>
      <c r="AD12" s="10"/>
      <c r="AE12" s="10"/>
      <c r="AF12" s="10"/>
      <c r="AG12" s="10"/>
      <c r="AH12" s="10"/>
      <c r="AI12" s="10"/>
    </row>
    <row r="13" spans="1:37" x14ac:dyDescent="0.25">
      <c r="A13" s="42" t="s">
        <v>43</v>
      </c>
      <c r="B13" s="42"/>
      <c r="C13" s="36">
        <f>'[1]Health Vote 2015-16'!AD13</f>
        <v>633648</v>
      </c>
      <c r="D13" s="38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5"/>
      <c r="W13" s="35"/>
      <c r="X13" s="36"/>
      <c r="Y13" s="35"/>
      <c r="Z13" s="35"/>
      <c r="AA13" s="35"/>
      <c r="AB13" s="41"/>
      <c r="AC13" s="10"/>
      <c r="AD13" s="10"/>
      <c r="AE13" s="10"/>
      <c r="AF13" s="10"/>
      <c r="AG13" s="10"/>
      <c r="AH13" s="10"/>
      <c r="AI13" s="10"/>
    </row>
    <row r="14" spans="1:37" x14ac:dyDescent="0.25">
      <c r="A14" s="42" t="s">
        <v>44</v>
      </c>
      <c r="B14" s="42"/>
      <c r="C14" s="36">
        <f>'[1]Health Vote 2015-16'!AD14</f>
        <v>1281426</v>
      </c>
      <c r="D14" s="38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5"/>
      <c r="W14" s="35"/>
      <c r="X14" s="36"/>
      <c r="Y14" s="35"/>
      <c r="Z14" s="35"/>
      <c r="AA14" s="35"/>
      <c r="AB14" s="41"/>
      <c r="AC14" s="10"/>
      <c r="AD14" s="10"/>
      <c r="AE14" s="10"/>
      <c r="AF14" s="10"/>
      <c r="AG14" s="10"/>
      <c r="AH14" s="10"/>
      <c r="AI14" s="10"/>
    </row>
    <row r="15" spans="1:37" x14ac:dyDescent="0.25">
      <c r="A15" s="42" t="s">
        <v>45</v>
      </c>
      <c r="B15" s="42"/>
      <c r="C15" s="36">
        <f>'[1]Health Vote 2015-16'!AD15</f>
        <v>689554</v>
      </c>
      <c r="D15" s="38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5"/>
      <c r="W15" s="35"/>
      <c r="X15" s="36"/>
      <c r="Y15" s="35"/>
      <c r="Z15" s="35"/>
      <c r="AA15" s="35"/>
      <c r="AB15" s="41"/>
      <c r="AC15" s="10"/>
      <c r="AD15" s="10"/>
      <c r="AE15" s="10"/>
      <c r="AF15" s="10"/>
      <c r="AG15" s="10"/>
      <c r="AH15" s="10"/>
      <c r="AI15" s="10"/>
    </row>
    <row r="16" spans="1:37" x14ac:dyDescent="0.25">
      <c r="A16" s="42" t="s">
        <v>46</v>
      </c>
      <c r="B16" s="42"/>
      <c r="C16" s="36">
        <f>'[1]Health Vote 2015-16'!AD16</f>
        <v>1268476</v>
      </c>
      <c r="D16" s="38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5"/>
      <c r="W16" s="35"/>
      <c r="X16" s="36"/>
      <c r="Y16" s="35"/>
      <c r="Z16" s="35"/>
      <c r="AA16" s="35"/>
      <c r="AB16" s="41"/>
      <c r="AC16" s="10"/>
      <c r="AD16" s="10"/>
      <c r="AE16" s="10"/>
      <c r="AF16" s="10"/>
      <c r="AG16" s="10"/>
      <c r="AH16" s="10"/>
      <c r="AI16" s="10"/>
    </row>
    <row r="17" spans="1:43" x14ac:dyDescent="0.25">
      <c r="A17" s="42" t="s">
        <v>47</v>
      </c>
      <c r="B17" s="42"/>
      <c r="C17" s="36">
        <f>'[1]Health Vote 2015-16'!AD17</f>
        <v>457128</v>
      </c>
      <c r="D17" s="38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5"/>
      <c r="W17" s="35"/>
      <c r="X17" s="36"/>
      <c r="Y17" s="35"/>
      <c r="Z17" s="35"/>
      <c r="AA17" s="35"/>
      <c r="AB17" s="41"/>
      <c r="AC17" s="10"/>
      <c r="AD17" s="10"/>
      <c r="AE17" s="10"/>
      <c r="AF17" s="10"/>
      <c r="AG17" s="10"/>
      <c r="AH17" s="10"/>
      <c r="AI17" s="10"/>
    </row>
    <row r="18" spans="1:43" x14ac:dyDescent="0.25">
      <c r="A18" s="42" t="s">
        <v>48</v>
      </c>
      <c r="B18" s="42"/>
      <c r="C18" s="36">
        <f>'[1]Health Vote 2015-16'!AD18</f>
        <v>363557</v>
      </c>
      <c r="D18" s="38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5"/>
      <c r="W18" s="35"/>
      <c r="X18" s="36"/>
      <c r="Y18" s="35"/>
      <c r="Z18" s="35"/>
      <c r="AA18" s="35"/>
      <c r="AB18" s="41"/>
      <c r="AC18" s="10"/>
      <c r="AD18" s="10"/>
      <c r="AE18" s="10"/>
      <c r="AF18" s="10"/>
      <c r="AG18" s="10"/>
      <c r="AH18" s="10"/>
      <c r="AI18" s="10"/>
    </row>
    <row r="19" spans="1:43" x14ac:dyDescent="0.25">
      <c r="A19" s="42" t="s">
        <v>49</v>
      </c>
      <c r="B19" s="42"/>
      <c r="C19" s="36">
        <f>'[1]Health Vote 2015-16'!AD19</f>
        <v>283482</v>
      </c>
      <c r="D19" s="38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5"/>
      <c r="W19" s="35"/>
      <c r="X19" s="36"/>
      <c r="Y19" s="35"/>
      <c r="Z19" s="35"/>
      <c r="AA19" s="35"/>
      <c r="AB19" s="41"/>
      <c r="AC19" s="10"/>
      <c r="AD19" s="10"/>
      <c r="AE19" s="10"/>
      <c r="AF19" s="10"/>
      <c r="AG19" s="10"/>
      <c r="AH19" s="10"/>
      <c r="AI19" s="10"/>
    </row>
    <row r="20" spans="1:43" x14ac:dyDescent="0.25">
      <c r="A20" s="42" t="s">
        <v>50</v>
      </c>
      <c r="B20" s="42"/>
      <c r="C20" s="36">
        <f>'[1]Health Vote 2015-16'!AD20</f>
        <v>465870</v>
      </c>
      <c r="D20" s="38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5"/>
      <c r="W20" s="35"/>
      <c r="X20" s="36"/>
      <c r="Y20" s="35"/>
      <c r="Z20" s="35"/>
      <c r="AA20" s="35"/>
      <c r="AB20" s="39"/>
      <c r="AC20" s="10"/>
      <c r="AD20" s="10"/>
      <c r="AE20" s="10"/>
      <c r="AF20" s="10"/>
      <c r="AG20" s="10"/>
      <c r="AH20" s="10"/>
      <c r="AI20" s="10"/>
    </row>
    <row r="21" spans="1:43" x14ac:dyDescent="0.25">
      <c r="A21" s="42" t="s">
        <v>51</v>
      </c>
      <c r="B21" s="42"/>
      <c r="C21" s="36">
        <f>'[1]Health Vote 2015-16'!AD21</f>
        <v>393161</v>
      </c>
      <c r="D21" s="38"/>
      <c r="E21" s="31"/>
      <c r="F21" s="31"/>
      <c r="G21" s="31"/>
      <c r="H21" s="31"/>
      <c r="I21" s="31"/>
      <c r="J21" s="31"/>
      <c r="K21" s="31"/>
      <c r="L21" s="31"/>
      <c r="M21" s="31"/>
      <c r="N21" s="31"/>
      <c r="P21" s="31"/>
      <c r="Q21" s="31"/>
      <c r="R21" s="31"/>
      <c r="S21" s="31"/>
      <c r="T21" s="31"/>
      <c r="U21" s="31"/>
      <c r="V21" s="35"/>
      <c r="W21" s="35"/>
      <c r="X21" s="36"/>
      <c r="Y21" s="35"/>
      <c r="Z21" s="35"/>
      <c r="AA21" s="35"/>
      <c r="AB21" s="10"/>
      <c r="AC21" s="10"/>
      <c r="AD21" s="10"/>
      <c r="AE21" s="10"/>
      <c r="AF21" s="10"/>
      <c r="AG21" s="10"/>
      <c r="AH21" s="10"/>
      <c r="AI21" s="10"/>
    </row>
    <row r="22" spans="1:43" x14ac:dyDescent="0.25">
      <c r="A22" s="42" t="s">
        <v>52</v>
      </c>
      <c r="B22" s="42"/>
      <c r="C22" s="36">
        <f>'[1]Health Vote 2015-16'!AD22</f>
        <v>509308</v>
      </c>
      <c r="D22" s="38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5"/>
      <c r="W22" s="35"/>
      <c r="X22" s="36"/>
      <c r="Y22" s="35"/>
      <c r="Z22" s="35"/>
      <c r="AA22" s="35"/>
      <c r="AB22" s="10"/>
      <c r="AC22" s="10"/>
      <c r="AD22" s="10"/>
      <c r="AE22" s="10"/>
      <c r="AF22" s="10"/>
      <c r="AG22" s="10"/>
      <c r="AH22" s="10"/>
      <c r="AI22" s="10"/>
    </row>
    <row r="23" spans="1:43" x14ac:dyDescent="0.25">
      <c r="A23" s="42" t="s">
        <v>53</v>
      </c>
      <c r="B23" s="42"/>
      <c r="C23" s="36">
        <f>'[1]Health Vote 2015-16'!AD23</f>
        <v>167378</v>
      </c>
      <c r="D23" s="38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5"/>
      <c r="W23" s="35"/>
      <c r="X23" s="36"/>
      <c r="Y23" s="35"/>
      <c r="Z23" s="35"/>
      <c r="AA23" s="35"/>
      <c r="AB23" s="10"/>
      <c r="AC23" s="39"/>
      <c r="AD23" s="10"/>
      <c r="AE23" s="10"/>
      <c r="AF23" s="10"/>
      <c r="AG23" s="10"/>
      <c r="AH23" s="10"/>
      <c r="AI23" s="10"/>
    </row>
    <row r="24" spans="1:43" x14ac:dyDescent="0.25">
      <c r="A24" s="42" t="s">
        <v>54</v>
      </c>
      <c r="B24" s="42"/>
      <c r="C24" s="36">
        <f>'[1]Health Vote 2015-16'!AD24</f>
        <v>789623</v>
      </c>
      <c r="D24" s="38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5"/>
      <c r="W24" s="35"/>
      <c r="X24" s="36"/>
      <c r="Y24" s="35"/>
      <c r="Z24" s="35"/>
      <c r="AA24" s="35"/>
      <c r="AB24" s="10"/>
      <c r="AC24" s="39"/>
      <c r="AD24" s="10"/>
      <c r="AE24" s="10"/>
      <c r="AF24" s="10"/>
      <c r="AG24" s="10"/>
      <c r="AH24" s="10"/>
      <c r="AI24" s="10"/>
    </row>
    <row r="25" spans="1:43" x14ac:dyDescent="0.25">
      <c r="A25" s="42" t="s">
        <v>55</v>
      </c>
      <c r="B25" s="42"/>
      <c r="C25" s="36">
        <f>'[1]Health Vote 2015-16'!AD25</f>
        <v>146813</v>
      </c>
      <c r="D25" s="38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5"/>
      <c r="W25" s="35"/>
      <c r="X25" s="36"/>
      <c r="Y25" s="35"/>
      <c r="Z25" s="35"/>
      <c r="AA25" s="35"/>
      <c r="AB25" s="10"/>
      <c r="AC25" s="10"/>
      <c r="AD25" s="10"/>
      <c r="AE25" s="10"/>
      <c r="AF25" s="10"/>
      <c r="AG25" s="10"/>
      <c r="AH25" s="10"/>
      <c r="AI25" s="10"/>
    </row>
    <row r="26" spans="1:43" x14ac:dyDescent="0.25">
      <c r="A26" s="42" t="s">
        <v>56</v>
      </c>
      <c r="B26" s="42"/>
      <c r="C26" s="36">
        <f>'[1]Health Vote 2015-16'!AD26</f>
        <v>317712</v>
      </c>
      <c r="D26" s="38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5"/>
      <c r="W26" s="35"/>
      <c r="X26" s="36"/>
      <c r="Y26" s="35"/>
      <c r="Z26" s="35"/>
      <c r="AA26" s="35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x14ac:dyDescent="0.25">
      <c r="A27" s="42" t="s">
        <v>57</v>
      </c>
      <c r="B27" s="42"/>
      <c r="C27" s="36">
        <f>'[1]Health Vote 2015-16'!AD27</f>
        <v>1040100</v>
      </c>
      <c r="D27" s="38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5"/>
      <c r="W27" s="43"/>
      <c r="X27" s="41"/>
      <c r="Y27" s="43"/>
      <c r="Z27" s="43"/>
      <c r="AA27" s="43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x14ac:dyDescent="0.25">
      <c r="A28" s="42" t="s">
        <v>58</v>
      </c>
      <c r="B28" s="42"/>
      <c r="C28" s="36">
        <f>'[1]Health Vote 2015-16'!AD28</f>
        <v>127817</v>
      </c>
      <c r="D28" s="38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5"/>
      <c r="W28" s="43"/>
      <c r="X28" s="41"/>
      <c r="Y28" s="43"/>
      <c r="Z28" s="43"/>
      <c r="AA28" s="43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x14ac:dyDescent="0.25">
      <c r="A29" s="42" t="s">
        <v>59</v>
      </c>
      <c r="B29" s="42"/>
      <c r="C29" s="36">
        <f>'[1]Health Vote 2015-16'!AD29</f>
        <v>1342072</v>
      </c>
      <c r="D29" s="38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5"/>
      <c r="W29" s="43"/>
      <c r="X29" s="44"/>
      <c r="Y29" s="43"/>
      <c r="Z29" s="43"/>
      <c r="AA29" s="43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43" x14ac:dyDescent="0.25">
      <c r="A30" s="42" t="s">
        <v>60</v>
      </c>
      <c r="B30" s="42"/>
      <c r="C30" s="36">
        <f>'[1]Health Vote 2015-16'!AD30</f>
        <v>121511</v>
      </c>
      <c r="D30" s="38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5"/>
      <c r="W30" s="43"/>
      <c r="X30" s="10"/>
      <c r="Y30" s="43"/>
      <c r="Z30" s="43"/>
      <c r="AA30" s="43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x14ac:dyDescent="0.25">
      <c r="A31" s="45" t="s">
        <v>61</v>
      </c>
      <c r="B31" s="45"/>
      <c r="C31" s="46">
        <f>'[1]Health Vote 2015-16'!AD31</f>
        <v>205636</v>
      </c>
      <c r="D31" s="38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5"/>
      <c r="W31" s="43"/>
      <c r="X31" s="47"/>
      <c r="Y31" s="48"/>
      <c r="Z31" s="48"/>
      <c r="AA31" s="48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x14ac:dyDescent="0.25">
      <c r="A32" s="49" t="s">
        <v>62</v>
      </c>
      <c r="C32" s="33">
        <f>SUM(C12:C31)</f>
        <v>11719827</v>
      </c>
      <c r="D32" s="50">
        <f>MedicalSalaryIncreases16</f>
        <v>2.4156418276994194E-2</v>
      </c>
      <c r="E32" s="50">
        <f>MedicalProportion16</f>
        <v>0.10769400000000001</v>
      </c>
      <c r="F32" s="50">
        <f>NursingSalaryIncrease16</f>
        <v>2.4156418276994194E-2</v>
      </c>
      <c r="G32" s="50">
        <f>NursingProportion16</f>
        <v>0.13392000000000001</v>
      </c>
      <c r="H32" s="50">
        <f>OtherDHBWageIncreases16</f>
        <v>2.4156418276994194E-2</v>
      </c>
      <c r="I32" s="50">
        <f>OtherWageProportion16</f>
        <v>0.10657800000000001</v>
      </c>
      <c r="J32" s="50">
        <f>DHBFundedWageIncreases16</f>
        <v>2.5493909110655667E-2</v>
      </c>
      <c r="K32" s="50">
        <f>DHBFundedProportion16</f>
        <v>0.27632308223065183</v>
      </c>
      <c r="L32" s="50">
        <f>NonLabourHealthServicesCostIncrease16</f>
        <v>1.6E-2</v>
      </c>
      <c r="M32" s="50">
        <f>NonLabourProportion16</f>
        <v>0.37483465558676043</v>
      </c>
      <c r="N32" s="50"/>
      <c r="O32" s="50">
        <f>PopulationGrowth16</f>
        <v>2.5700000000000001E-2</v>
      </c>
      <c r="P32" s="50">
        <f>NonDemographicGrowth16</f>
        <v>0</v>
      </c>
      <c r="Q32" s="50">
        <f>ProductivityGrowth16</f>
        <v>0</v>
      </c>
      <c r="R32" s="50"/>
      <c r="S32" s="50"/>
      <c r="T32" s="50"/>
      <c r="U32" s="50">
        <f>((1+D32)*E32+(1+F32)*G32+(1+H32)*I32+(1+J32)*K32+(1+L32+N32)*M32)*(1+O32)*(1+P32)*(1-Q32)+R32*(1+S32)-1</f>
        <v>4.7037349332755163E-2</v>
      </c>
      <c r="V32" s="7"/>
      <c r="W32" s="51">
        <f>C87+C88</f>
        <v>50000</v>
      </c>
      <c r="X32" s="33">
        <f>C32*(1+U32)+W32</f>
        <v>12321096.596718457</v>
      </c>
      <c r="Y32" s="33"/>
      <c r="Z32" s="33">
        <f>X32-C32</f>
        <v>601269.5967184566</v>
      </c>
      <c r="AA32" s="33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x14ac:dyDescent="0.25">
      <c r="A33" s="40"/>
      <c r="B33" s="7"/>
      <c r="C33" s="3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4"/>
      <c r="V33" s="52" t="s">
        <v>63</v>
      </c>
      <c r="X33" s="53">
        <f>X32-W32</f>
        <v>12271096.596718457</v>
      </c>
      <c r="Y33" s="37" t="s">
        <v>64</v>
      </c>
      <c r="Z33" s="54">
        <f>Z32/C32</f>
        <v>5.1303623911722981E-2</v>
      </c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x14ac:dyDescent="0.25">
      <c r="A34" s="49"/>
      <c r="B34" s="33"/>
      <c r="C34" s="38"/>
      <c r="V34" s="55" t="s">
        <v>64</v>
      </c>
      <c r="W34" s="1"/>
      <c r="X34" s="53">
        <f>X33-C32</f>
        <v>551269.5967184566</v>
      </c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x14ac:dyDescent="0.25">
      <c r="A35" s="40" t="s">
        <v>65</v>
      </c>
      <c r="B35" s="56"/>
      <c r="C35" s="36">
        <f>'[1]Health Vote 2015-16'!AD35</f>
        <v>55000</v>
      </c>
      <c r="D35" s="31">
        <f>MedicalSalaryIncreases16</f>
        <v>2.4156418276994194E-2</v>
      </c>
      <c r="E35" s="31">
        <f>MedicalProportion16</f>
        <v>0.10769400000000001</v>
      </c>
      <c r="F35" s="31">
        <f>NursingSalaryIncrease16</f>
        <v>2.4156418276994194E-2</v>
      </c>
      <c r="G35" s="31">
        <f>NursingProportion16</f>
        <v>0.13392000000000001</v>
      </c>
      <c r="H35" s="31">
        <f>OtherDHBWageIncreases16</f>
        <v>2.4156418276994194E-2</v>
      </c>
      <c r="I35" s="31">
        <f>OtherWageProportion16</f>
        <v>0.10657800000000001</v>
      </c>
      <c r="J35" s="31">
        <f>DHBProviderWageIncrease16</f>
        <v>2.4156418276994194E-2</v>
      </c>
      <c r="K35" s="31">
        <f>DHBFundedProportion16</f>
        <v>0.27632308223065183</v>
      </c>
      <c r="L35" s="31">
        <f>NonLabourHealthServicesCostIncrease16</f>
        <v>1.6E-2</v>
      </c>
      <c r="M35" s="31">
        <f t="shared" ref="M35:M51" si="0">NonLabourProportion16</f>
        <v>0.37483465558676043</v>
      </c>
      <c r="N35" s="31"/>
      <c r="O35" s="31">
        <f>PopulationGrowth16</f>
        <v>2.5700000000000001E-2</v>
      </c>
      <c r="P35" s="31">
        <f t="shared" ref="P35:P51" si="1">NonDemographicGrowth16</f>
        <v>0</v>
      </c>
      <c r="Q35" s="31">
        <f t="shared" ref="Q35:Q51" si="2">ProductivityGrowth16</f>
        <v>0</v>
      </c>
      <c r="R35" s="31"/>
      <c r="S35" s="31"/>
      <c r="T35" s="31"/>
      <c r="U35" s="34">
        <f>((1+D35)*E35+(1+F35)*G35+(1+H35)*I35+(1+J35)*K35+(1+L35+N35)*M35)*(1+O35)*(1+P35)*(1-Q35)+R35*(1+S35)-1</f>
        <v>4.6658271547689534E-2</v>
      </c>
      <c r="V35" s="35"/>
      <c r="W35" s="36"/>
      <c r="X35" s="36"/>
      <c r="Y35" s="35"/>
      <c r="Z35" s="35"/>
      <c r="AA35" s="35"/>
      <c r="AB35" s="10"/>
      <c r="AC35" s="10"/>
      <c r="AD35" s="10"/>
      <c r="AE35" s="10"/>
      <c r="AF35" s="39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</row>
    <row r="36" spans="1:43" x14ac:dyDescent="0.25">
      <c r="A36" s="40" t="s">
        <v>66</v>
      </c>
      <c r="B36" s="40"/>
      <c r="C36" s="36">
        <f>'[1]Health Vote 2015-16'!AD36</f>
        <v>174250</v>
      </c>
      <c r="D36" s="31"/>
      <c r="E36" s="31"/>
      <c r="F36" s="31"/>
      <c r="G36" s="31"/>
      <c r="H36" s="31"/>
      <c r="I36" s="31"/>
      <c r="J36" s="31">
        <f>_LCI16</f>
        <v>1.7999999999999999E-2</v>
      </c>
      <c r="K36" s="31">
        <f>LabourProportion16</f>
        <v>0.62516534441323957</v>
      </c>
      <c r="L36" s="31"/>
      <c r="M36" s="31">
        <f t="shared" si="0"/>
        <v>0.37483465558676043</v>
      </c>
      <c r="N36" s="31">
        <f t="shared" ref="N36:N51" si="3">NonLabourGeneralCostIncreases16</f>
        <v>1.6E-2</v>
      </c>
      <c r="O36" s="31"/>
      <c r="P36" s="31">
        <f t="shared" si="1"/>
        <v>0</v>
      </c>
      <c r="Q36" s="31">
        <f t="shared" si="2"/>
        <v>0</v>
      </c>
      <c r="R36" s="31"/>
      <c r="S36" s="31"/>
      <c r="T36" s="31"/>
      <c r="U36" s="34">
        <f>((1+D36)*E36+(1+F36)*G36+(1+H36)*I36+(1+J36)*K36+(1+L36+N36)*M36)*(1+O36)*(1+P36)*(1-Q36)+R36*(1+S36)-1</f>
        <v>1.7250330688826532E-2</v>
      </c>
      <c r="V36" s="35"/>
      <c r="W36" s="36"/>
      <c r="X36" s="36"/>
      <c r="Y36" s="35"/>
      <c r="Z36" s="35"/>
      <c r="AA36" s="35"/>
      <c r="AB36" s="10"/>
      <c r="AC36" s="10"/>
      <c r="AD36" s="10"/>
      <c r="AE36" s="10"/>
      <c r="AF36" s="39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</row>
    <row r="37" spans="1:43" x14ac:dyDescent="0.25">
      <c r="A37" s="40" t="s">
        <v>67</v>
      </c>
      <c r="B37" s="40"/>
      <c r="C37" s="36">
        <f>'[1]Health Vote 2015-16'!AD37</f>
        <v>27096</v>
      </c>
      <c r="D37" s="31"/>
      <c r="E37" s="31"/>
      <c r="F37" s="31"/>
      <c r="G37" s="31"/>
      <c r="H37" s="31"/>
      <c r="I37" s="31"/>
      <c r="J37" s="31">
        <f>_LCI16</f>
        <v>1.7999999999999999E-2</v>
      </c>
      <c r="K37" s="31">
        <f t="shared" ref="K37:K51" si="4">LabourProportion16</f>
        <v>0.62516534441323957</v>
      </c>
      <c r="L37" s="31"/>
      <c r="M37" s="31">
        <f t="shared" si="0"/>
        <v>0.37483465558676043</v>
      </c>
      <c r="N37" s="31">
        <f t="shared" si="3"/>
        <v>1.6E-2</v>
      </c>
      <c r="O37" s="31"/>
      <c r="P37" s="31">
        <f t="shared" si="1"/>
        <v>0</v>
      </c>
      <c r="Q37" s="31">
        <f t="shared" si="2"/>
        <v>0</v>
      </c>
      <c r="R37" s="31"/>
      <c r="S37" s="31"/>
      <c r="T37" s="31"/>
      <c r="U37" s="34">
        <f t="shared" ref="U37:U51" si="5">((1+D37)*E37+(1+F37)*G37+(1+H37)*I37+(1+J37)*K37+(1+L37+N37)*M37)*(1+O37)*(1+P37)*(1-Q37)+R37*(1+S37)-1</f>
        <v>1.7250330688826532E-2</v>
      </c>
      <c r="V37" s="35"/>
      <c r="W37" s="36"/>
      <c r="X37" s="36"/>
      <c r="Y37" s="35"/>
      <c r="Z37" s="35"/>
      <c r="AA37" s="35"/>
      <c r="AB37" s="10"/>
      <c r="AC37" s="10"/>
      <c r="AD37" s="10"/>
      <c r="AE37" s="10"/>
      <c r="AF37" s="39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</row>
    <row r="38" spans="1:43" x14ac:dyDescent="0.25">
      <c r="A38" s="40" t="s">
        <v>68</v>
      </c>
      <c r="B38" s="40"/>
      <c r="C38" s="36">
        <f>'[1]Health Vote 2015-16'!AD38</f>
        <v>260</v>
      </c>
      <c r="D38" s="31"/>
      <c r="E38" s="31"/>
      <c r="F38" s="31"/>
      <c r="G38" s="31"/>
      <c r="H38" s="31"/>
      <c r="I38" s="31"/>
      <c r="J38" s="31">
        <f>_LCI16</f>
        <v>1.7999999999999999E-2</v>
      </c>
      <c r="K38" s="31">
        <f t="shared" si="4"/>
        <v>0.62516534441323957</v>
      </c>
      <c r="L38" s="31"/>
      <c r="M38" s="31">
        <f t="shared" si="0"/>
        <v>0.37483465558676043</v>
      </c>
      <c r="N38" s="31">
        <f t="shared" si="3"/>
        <v>1.6E-2</v>
      </c>
      <c r="O38" s="31"/>
      <c r="P38" s="31">
        <f t="shared" si="1"/>
        <v>0</v>
      </c>
      <c r="Q38" s="31">
        <f t="shared" si="2"/>
        <v>0</v>
      </c>
      <c r="R38" s="31"/>
      <c r="S38" s="31"/>
      <c r="T38" s="31"/>
      <c r="U38" s="34">
        <f t="shared" si="5"/>
        <v>1.7250330688826532E-2</v>
      </c>
      <c r="V38" s="35"/>
      <c r="W38" s="36"/>
      <c r="X38" s="36"/>
      <c r="Y38" s="35"/>
      <c r="Z38" s="35"/>
      <c r="AA38" s="35"/>
      <c r="AB38" s="10"/>
      <c r="AC38" s="10"/>
      <c r="AD38" s="10"/>
      <c r="AE38" s="10"/>
      <c r="AF38" s="39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x14ac:dyDescent="0.25">
      <c r="A39" s="40" t="s">
        <v>69</v>
      </c>
      <c r="B39" s="40"/>
      <c r="C39" s="36">
        <f>'[1]Health Vote 2015-16'!AD39</f>
        <v>87048</v>
      </c>
      <c r="D39" s="31"/>
      <c r="E39" s="31"/>
      <c r="F39" s="31"/>
      <c r="G39" s="31"/>
      <c r="H39" s="31"/>
      <c r="I39" s="31"/>
      <c r="J39" s="31">
        <f>DHBProviderWageIncrease16</f>
        <v>2.4156418276994194E-2</v>
      </c>
      <c r="K39" s="31">
        <f t="shared" si="4"/>
        <v>0.62516534441323957</v>
      </c>
      <c r="L39" s="31"/>
      <c r="M39" s="31">
        <f t="shared" si="0"/>
        <v>0.37483465558676043</v>
      </c>
      <c r="N39" s="31">
        <f t="shared" si="3"/>
        <v>1.6E-2</v>
      </c>
      <c r="O39" s="31">
        <f>ChildPopGrowth16</f>
        <v>5.0000000000000001E-3</v>
      </c>
      <c r="P39" s="31">
        <f t="shared" si="1"/>
        <v>0</v>
      </c>
      <c r="Q39" s="31">
        <f t="shared" si="2"/>
        <v>0</v>
      </c>
      <c r="R39" s="31"/>
      <c r="S39" s="31"/>
      <c r="T39" s="31"/>
      <c r="U39" s="34">
        <f t="shared" si="5"/>
        <v>2.6204605591522157E-2</v>
      </c>
      <c r="V39" s="35"/>
      <c r="W39" s="36"/>
      <c r="X39" s="36"/>
      <c r="Y39" s="35"/>
      <c r="Z39" s="35"/>
      <c r="AA39" s="35"/>
      <c r="AB39" s="10"/>
      <c r="AC39" s="10"/>
      <c r="AD39" s="10"/>
      <c r="AE39" s="10"/>
      <c r="AF39" s="39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pans="1:43" x14ac:dyDescent="0.25">
      <c r="A40" s="40" t="s">
        <v>70</v>
      </c>
      <c r="B40" s="40"/>
      <c r="C40" s="36">
        <f>'[1]Health Vote 2015-16'!AD40</f>
        <v>45378</v>
      </c>
      <c r="D40" s="31"/>
      <c r="E40" s="31"/>
      <c r="F40" s="31"/>
      <c r="G40" s="31"/>
      <c r="H40" s="31"/>
      <c r="I40" s="31"/>
      <c r="J40" s="31">
        <f>_LCI16</f>
        <v>1.7999999999999999E-2</v>
      </c>
      <c r="K40" s="31">
        <f t="shared" si="4"/>
        <v>0.62516534441323957</v>
      </c>
      <c r="L40" s="31"/>
      <c r="M40" s="31">
        <f t="shared" si="0"/>
        <v>0.37483465558676043</v>
      </c>
      <c r="N40" s="31">
        <f t="shared" si="3"/>
        <v>1.6E-2</v>
      </c>
      <c r="O40" s="31">
        <f t="shared" ref="O40:O51" si="6">PopulationGrowth16</f>
        <v>2.5700000000000001E-2</v>
      </c>
      <c r="P40" s="31">
        <f t="shared" si="1"/>
        <v>0</v>
      </c>
      <c r="Q40" s="31">
        <f t="shared" si="2"/>
        <v>0</v>
      </c>
      <c r="R40" s="31"/>
      <c r="S40" s="31"/>
      <c r="T40" s="31"/>
      <c r="U40" s="34">
        <f t="shared" si="5"/>
        <v>4.3393664187529435E-2</v>
      </c>
      <c r="V40" s="35"/>
      <c r="W40" s="36">
        <f>C89</f>
        <v>10000</v>
      </c>
      <c r="X40" s="36"/>
      <c r="Y40" s="35"/>
      <c r="Z40" s="35"/>
      <c r="AA40" s="35"/>
      <c r="AB40" s="10"/>
      <c r="AC40" s="10"/>
      <c r="AD40" s="10"/>
      <c r="AE40" s="10"/>
      <c r="AF40" s="39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x14ac:dyDescent="0.25">
      <c r="A41" s="40" t="s">
        <v>71</v>
      </c>
      <c r="B41" s="40"/>
      <c r="C41" s="36">
        <f>'[1]Health Vote 2015-16'!AD41</f>
        <v>1158113</v>
      </c>
      <c r="D41" s="31"/>
      <c r="E41" s="31"/>
      <c r="F41" s="31"/>
      <c r="G41" s="31"/>
      <c r="H41" s="31"/>
      <c r="I41" s="31"/>
      <c r="J41" s="31">
        <f>HighMinWageSectorWageIncrease</f>
        <v>0.03</v>
      </c>
      <c r="K41" s="31">
        <f t="shared" si="4"/>
        <v>0.62516534441323957</v>
      </c>
      <c r="L41" s="31"/>
      <c r="M41" s="31">
        <f t="shared" si="0"/>
        <v>0.37483465558676043</v>
      </c>
      <c r="N41" s="31">
        <f t="shared" si="3"/>
        <v>1.6E-2</v>
      </c>
      <c r="O41" s="31">
        <f t="shared" si="6"/>
        <v>2.5700000000000001E-2</v>
      </c>
      <c r="P41" s="31">
        <f t="shared" si="1"/>
        <v>0</v>
      </c>
      <c r="Q41" s="31">
        <f t="shared" si="2"/>
        <v>0</v>
      </c>
      <c r="R41" s="31"/>
      <c r="S41" s="31"/>
      <c r="T41" s="31"/>
      <c r="U41" s="34">
        <f t="shared" si="5"/>
        <v>5.1088449312705286E-2</v>
      </c>
      <c r="V41" s="35"/>
      <c r="W41" s="36"/>
      <c r="X41" s="36"/>
      <c r="Y41" s="36"/>
      <c r="Z41" s="35"/>
      <c r="AA41" s="35"/>
      <c r="AB41" s="10"/>
      <c r="AC41" s="10"/>
      <c r="AD41" s="10"/>
      <c r="AE41" s="10"/>
      <c r="AF41" s="39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  <row r="42" spans="1:43" x14ac:dyDescent="0.25">
      <c r="A42" s="40" t="s">
        <v>72</v>
      </c>
      <c r="B42" s="40"/>
      <c r="C42" s="36">
        <f>'[1]Health Vote 2015-16'!AD42</f>
        <v>316512</v>
      </c>
      <c r="D42" s="31"/>
      <c r="E42" s="31"/>
      <c r="F42" s="31"/>
      <c r="G42" s="31"/>
      <c r="H42" s="31"/>
      <c r="I42" s="31"/>
      <c r="J42" s="31">
        <f>DHBProviderWageIncrease16</f>
        <v>2.4156418276994194E-2</v>
      </c>
      <c r="K42" s="31">
        <f t="shared" si="4"/>
        <v>0.62516534441323957</v>
      </c>
      <c r="L42" s="31"/>
      <c r="M42" s="31">
        <f t="shared" si="0"/>
        <v>0.37483465558676043</v>
      </c>
      <c r="N42" s="31">
        <f t="shared" si="3"/>
        <v>1.6E-2</v>
      </c>
      <c r="O42" s="31">
        <f t="shared" si="6"/>
        <v>2.5700000000000001E-2</v>
      </c>
      <c r="P42" s="31">
        <f t="shared" si="1"/>
        <v>0</v>
      </c>
      <c r="Q42" s="31">
        <f t="shared" si="2"/>
        <v>0</v>
      </c>
      <c r="R42" s="31"/>
      <c r="S42" s="31"/>
      <c r="T42" s="31"/>
      <c r="U42" s="34">
        <f t="shared" si="5"/>
        <v>4.7341357169377485E-2</v>
      </c>
      <c r="V42" s="35"/>
      <c r="W42" s="36"/>
      <c r="X42" s="36"/>
      <c r="Y42" s="35"/>
      <c r="Z42" s="35"/>
      <c r="AA42" s="35"/>
      <c r="AB42" s="10"/>
      <c r="AC42" s="10"/>
      <c r="AD42" s="10"/>
      <c r="AE42" s="10"/>
      <c r="AF42" s="39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</row>
    <row r="43" spans="1:43" x14ac:dyDescent="0.25">
      <c r="A43" s="40" t="s">
        <v>73</v>
      </c>
      <c r="B43" s="40"/>
      <c r="C43" s="36">
        <f>'[1]Health Vote 2015-16'!AD43</f>
        <v>96440</v>
      </c>
      <c r="D43" s="31"/>
      <c r="E43" s="31"/>
      <c r="F43" s="31"/>
      <c r="G43" s="31"/>
      <c r="H43" s="31"/>
      <c r="I43" s="31"/>
      <c r="J43" s="31">
        <f>_LCI16</f>
        <v>1.7999999999999999E-2</v>
      </c>
      <c r="K43" s="31">
        <f t="shared" si="4"/>
        <v>0.62516534441323957</v>
      </c>
      <c r="L43" s="31"/>
      <c r="M43" s="31">
        <f t="shared" si="0"/>
        <v>0.37483465558676043</v>
      </c>
      <c r="N43" s="31">
        <f t="shared" si="3"/>
        <v>1.6E-2</v>
      </c>
      <c r="O43" s="31">
        <f t="shared" si="6"/>
        <v>2.5700000000000001E-2</v>
      </c>
      <c r="P43" s="31">
        <f t="shared" si="1"/>
        <v>0</v>
      </c>
      <c r="Q43" s="31">
        <f t="shared" si="2"/>
        <v>0</v>
      </c>
      <c r="R43" s="31"/>
      <c r="S43" s="31"/>
      <c r="T43" s="31"/>
      <c r="U43" s="34">
        <f t="shared" si="5"/>
        <v>4.3393664187529435E-2</v>
      </c>
      <c r="V43" s="35"/>
      <c r="W43" s="36"/>
      <c r="X43" s="36"/>
      <c r="Y43" s="35"/>
      <c r="Z43" s="35"/>
      <c r="AA43" s="35"/>
      <c r="AB43" s="10"/>
      <c r="AC43" s="10"/>
      <c r="AD43" s="10"/>
      <c r="AE43" s="10"/>
      <c r="AF43" s="39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pans="1:43" x14ac:dyDescent="0.25">
      <c r="A44" s="40" t="s">
        <v>74</v>
      </c>
      <c r="B44" s="40"/>
      <c r="C44" s="36">
        <f>'[1]Health Vote 2015-16'!AD44</f>
        <v>14887</v>
      </c>
      <c r="D44" s="31"/>
      <c r="E44" s="31"/>
      <c r="F44" s="31"/>
      <c r="G44" s="31"/>
      <c r="H44" s="31"/>
      <c r="I44" s="31"/>
      <c r="J44" s="31">
        <f>_LCI16</f>
        <v>1.7999999999999999E-2</v>
      </c>
      <c r="K44" s="31">
        <f t="shared" si="4"/>
        <v>0.62516534441323957</v>
      </c>
      <c r="L44" s="31"/>
      <c r="M44" s="31">
        <f t="shared" si="0"/>
        <v>0.37483465558676043</v>
      </c>
      <c r="N44" s="31">
        <f t="shared" si="3"/>
        <v>1.6E-2</v>
      </c>
      <c r="O44" s="31"/>
      <c r="P44" s="31">
        <f t="shared" si="1"/>
        <v>0</v>
      </c>
      <c r="Q44" s="31">
        <f t="shared" si="2"/>
        <v>0</v>
      </c>
      <c r="R44" s="31"/>
      <c r="S44" s="31"/>
      <c r="T44" s="31"/>
      <c r="U44" s="34">
        <f t="shared" si="5"/>
        <v>1.7250330688826532E-2</v>
      </c>
      <c r="V44" s="35"/>
      <c r="W44" s="36"/>
      <c r="X44" s="36"/>
      <c r="Y44" s="35"/>
      <c r="Z44" s="35"/>
      <c r="AA44" s="35"/>
      <c r="AB44" s="10"/>
      <c r="AC44" s="10"/>
      <c r="AD44" s="10"/>
      <c r="AE44" s="10"/>
      <c r="AF44" s="39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pans="1:43" x14ac:dyDescent="0.25">
      <c r="A45" s="40" t="s">
        <v>75</v>
      </c>
      <c r="B45" s="40"/>
      <c r="C45" s="36">
        <f>'[1]Health Vote 2015-16'!AD45</f>
        <v>7308</v>
      </c>
      <c r="D45" s="31"/>
      <c r="E45" s="31"/>
      <c r="F45" s="31"/>
      <c r="G45" s="31"/>
      <c r="H45" s="31"/>
      <c r="I45" s="31"/>
      <c r="J45" s="31">
        <f>_LCI16</f>
        <v>1.7999999999999999E-2</v>
      </c>
      <c r="K45" s="31">
        <f t="shared" si="4"/>
        <v>0.62516534441323957</v>
      </c>
      <c r="L45" s="31"/>
      <c r="M45" s="31">
        <f t="shared" si="0"/>
        <v>0.37483465558676043</v>
      </c>
      <c r="N45" s="31">
        <f t="shared" si="3"/>
        <v>1.6E-2</v>
      </c>
      <c r="O45" s="31">
        <f t="shared" si="6"/>
        <v>2.5700000000000001E-2</v>
      </c>
      <c r="P45" s="31">
        <f t="shared" si="1"/>
        <v>0</v>
      </c>
      <c r="Q45" s="31">
        <f t="shared" si="2"/>
        <v>0</v>
      </c>
      <c r="R45" s="31"/>
      <c r="S45" s="31"/>
      <c r="T45" s="31"/>
      <c r="U45" s="34">
        <f t="shared" si="5"/>
        <v>4.3393664187529435E-2</v>
      </c>
      <c r="V45" s="35"/>
      <c r="W45" s="36"/>
      <c r="X45" s="36"/>
      <c r="Y45" s="35"/>
      <c r="Z45" s="35"/>
      <c r="AA45" s="35"/>
      <c r="AB45" s="10"/>
      <c r="AC45" s="10"/>
      <c r="AD45" s="10"/>
      <c r="AE45" s="10"/>
      <c r="AF45" s="39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</row>
    <row r="46" spans="1:43" x14ac:dyDescent="0.25">
      <c r="A46" s="40" t="s">
        <v>76</v>
      </c>
      <c r="B46" s="40"/>
      <c r="C46" s="36">
        <f>'[1]Health Vote 2015-16'!AD46</f>
        <v>146767</v>
      </c>
      <c r="D46" s="31"/>
      <c r="E46" s="31"/>
      <c r="F46" s="31"/>
      <c r="G46" s="31"/>
      <c r="H46" s="31"/>
      <c r="I46" s="31"/>
      <c r="J46" s="31">
        <f>DHBProviderWageIncrease16</f>
        <v>2.4156418276994194E-2</v>
      </c>
      <c r="K46" s="31">
        <f t="shared" si="4"/>
        <v>0.62516534441323957</v>
      </c>
      <c r="L46" s="31"/>
      <c r="M46" s="31">
        <f t="shared" si="0"/>
        <v>0.37483465558676043</v>
      </c>
      <c r="N46" s="31">
        <f t="shared" si="3"/>
        <v>1.6E-2</v>
      </c>
      <c r="O46" s="31">
        <f>BirthGrowth16</f>
        <v>0.06</v>
      </c>
      <c r="P46" s="31">
        <f t="shared" si="1"/>
        <v>0</v>
      </c>
      <c r="Q46" s="31">
        <f t="shared" si="2"/>
        <v>0</v>
      </c>
      <c r="R46" s="31"/>
      <c r="S46" s="31"/>
      <c r="T46" s="31"/>
      <c r="U46" s="34">
        <f t="shared" si="5"/>
        <v>8.2365056643794565E-2</v>
      </c>
      <c r="V46" s="35"/>
      <c r="W46" s="36"/>
      <c r="X46" s="36"/>
      <c r="Y46" s="35"/>
      <c r="Z46" s="35"/>
      <c r="AA46" s="35"/>
      <c r="AB46" s="10"/>
      <c r="AC46" s="10"/>
      <c r="AD46" s="10"/>
      <c r="AE46" s="10"/>
      <c r="AF46" s="39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3" x14ac:dyDescent="0.25">
      <c r="A47" s="40" t="s">
        <v>77</v>
      </c>
      <c r="B47" s="40"/>
      <c r="C47" s="36">
        <f>'[1]Health Vote 2015-16'!AD47</f>
        <v>55797</v>
      </c>
      <c r="D47" s="31"/>
      <c r="E47" s="31"/>
      <c r="F47" s="31"/>
      <c r="G47" s="31"/>
      <c r="H47" s="31"/>
      <c r="I47" s="31"/>
      <c r="J47" s="31">
        <f>DHBProviderWageIncrease16</f>
        <v>2.4156418276994194E-2</v>
      </c>
      <c r="K47" s="31">
        <f t="shared" si="4"/>
        <v>0.62516534441323957</v>
      </c>
      <c r="L47" s="31"/>
      <c r="M47" s="31">
        <f t="shared" si="0"/>
        <v>0.37483465558676043</v>
      </c>
      <c r="N47" s="31">
        <f t="shared" si="3"/>
        <v>1.6E-2</v>
      </c>
      <c r="O47" s="31">
        <f t="shared" si="6"/>
        <v>2.5700000000000001E-2</v>
      </c>
      <c r="P47" s="31">
        <f t="shared" si="1"/>
        <v>0</v>
      </c>
      <c r="Q47" s="31">
        <f t="shared" si="2"/>
        <v>0</v>
      </c>
      <c r="R47" s="31"/>
      <c r="S47" s="31"/>
      <c r="T47" s="31"/>
      <c r="U47" s="34">
        <f t="shared" si="5"/>
        <v>4.7341357169377485E-2</v>
      </c>
      <c r="V47" s="35"/>
      <c r="W47" s="36"/>
      <c r="X47" s="36"/>
      <c r="Y47" s="35"/>
      <c r="Z47" s="35"/>
      <c r="AA47" s="35"/>
      <c r="AB47" s="10"/>
      <c r="AC47" s="10"/>
      <c r="AD47" s="10"/>
      <c r="AE47" s="10"/>
      <c r="AF47" s="39"/>
      <c r="AG47" s="10"/>
      <c r="AH47" s="10"/>
      <c r="AI47" s="10"/>
    </row>
    <row r="48" spans="1:43" x14ac:dyDescent="0.25">
      <c r="A48" s="40" t="s">
        <v>78</v>
      </c>
      <c r="B48" s="40"/>
      <c r="C48" s="36">
        <f>'[1]Health Vote 2015-16'!AD48</f>
        <v>77933</v>
      </c>
      <c r="D48" s="31"/>
      <c r="E48" s="31"/>
      <c r="F48" s="31"/>
      <c r="G48" s="31"/>
      <c r="H48" s="31"/>
      <c r="I48" s="31"/>
      <c r="J48" s="31">
        <f>DHBProviderWageIncrease16</f>
        <v>2.4156418276994194E-2</v>
      </c>
      <c r="K48" s="31">
        <f t="shared" si="4"/>
        <v>0.62516534441323957</v>
      </c>
      <c r="L48" s="31"/>
      <c r="M48" s="31">
        <f t="shared" si="0"/>
        <v>0.37483465558676043</v>
      </c>
      <c r="N48" s="31">
        <f t="shared" si="3"/>
        <v>1.6E-2</v>
      </c>
      <c r="O48" s="31">
        <f t="shared" si="6"/>
        <v>2.5700000000000001E-2</v>
      </c>
      <c r="P48" s="31">
        <f t="shared" si="1"/>
        <v>0</v>
      </c>
      <c r="Q48" s="31">
        <f t="shared" si="2"/>
        <v>0</v>
      </c>
      <c r="R48" s="31"/>
      <c r="S48" s="31"/>
      <c r="T48" s="31"/>
      <c r="U48" s="34">
        <f>((1+D48)*E48+(1+F48)*G48+(1+H48)*I48+(1+J48)*K48+(1+L48+N48)*M48)*(1+O48)*(1+P48)*(1-Q48)+R48*(1+S48)-1</f>
        <v>4.7341357169377485E-2</v>
      </c>
      <c r="V48" s="35"/>
      <c r="W48" s="36"/>
      <c r="X48" s="36"/>
      <c r="Y48" s="35"/>
      <c r="Z48" s="35"/>
      <c r="AA48" s="35"/>
      <c r="AB48" s="10"/>
      <c r="AC48" s="10"/>
      <c r="AD48" s="10"/>
      <c r="AE48" s="10"/>
      <c r="AF48" s="39"/>
      <c r="AG48" s="10"/>
      <c r="AH48" s="10"/>
      <c r="AI48" s="10"/>
    </row>
    <row r="49" spans="1:35" x14ac:dyDescent="0.25">
      <c r="A49" s="40" t="s">
        <v>79</v>
      </c>
      <c r="B49" s="40"/>
      <c r="C49" s="36">
        <f>'[1]Health Vote 2015-16'!AD49</f>
        <v>172130</v>
      </c>
      <c r="D49" s="31"/>
      <c r="E49" s="31"/>
      <c r="F49" s="31"/>
      <c r="G49" s="31"/>
      <c r="H49" s="31"/>
      <c r="I49" s="31"/>
      <c r="J49" s="31">
        <f>_LCI16</f>
        <v>1.7999999999999999E-2</v>
      </c>
      <c r="K49" s="31">
        <f t="shared" si="4"/>
        <v>0.62516534441323957</v>
      </c>
      <c r="L49" s="31"/>
      <c r="M49" s="31">
        <f t="shared" si="0"/>
        <v>0.37483465558676043</v>
      </c>
      <c r="N49" s="31">
        <f t="shared" si="3"/>
        <v>1.6E-2</v>
      </c>
      <c r="O49" s="31">
        <f t="shared" si="6"/>
        <v>2.5700000000000001E-2</v>
      </c>
      <c r="P49" s="31">
        <f t="shared" si="1"/>
        <v>0</v>
      </c>
      <c r="Q49" s="31">
        <f t="shared" si="2"/>
        <v>0</v>
      </c>
      <c r="R49" s="31"/>
      <c r="S49" s="31"/>
      <c r="T49" s="31"/>
      <c r="U49" s="34">
        <f t="shared" si="5"/>
        <v>4.3393664187529435E-2</v>
      </c>
      <c r="V49" s="35"/>
      <c r="W49" s="36"/>
      <c r="X49" s="36"/>
      <c r="Y49" s="35"/>
      <c r="Z49" s="35"/>
      <c r="AA49" s="35"/>
      <c r="AB49" s="10"/>
      <c r="AC49" s="10"/>
      <c r="AD49" s="10"/>
      <c r="AE49" s="10"/>
      <c r="AF49" s="39"/>
      <c r="AG49" s="10"/>
      <c r="AH49" s="10"/>
      <c r="AI49" s="10"/>
    </row>
    <row r="50" spans="1:35" x14ac:dyDescent="0.25">
      <c r="A50" s="40" t="s">
        <v>80</v>
      </c>
      <c r="B50" s="40"/>
      <c r="C50" s="36">
        <f>'[1]Health Vote 2015-16'!AD50</f>
        <v>17130</v>
      </c>
      <c r="D50" s="31"/>
      <c r="E50" s="31"/>
      <c r="F50" s="31"/>
      <c r="G50" s="31"/>
      <c r="H50" s="31"/>
      <c r="I50" s="31"/>
      <c r="J50" s="31">
        <f>_LCI16</f>
        <v>1.7999999999999999E-2</v>
      </c>
      <c r="K50" s="31">
        <f t="shared" si="4"/>
        <v>0.62516534441323957</v>
      </c>
      <c r="L50" s="31"/>
      <c r="M50" s="31">
        <f t="shared" si="0"/>
        <v>0.37483465558676043</v>
      </c>
      <c r="N50" s="31">
        <f t="shared" si="3"/>
        <v>1.6E-2</v>
      </c>
      <c r="O50" s="31">
        <f t="shared" si="6"/>
        <v>2.5700000000000001E-2</v>
      </c>
      <c r="P50" s="31">
        <f t="shared" si="1"/>
        <v>0</v>
      </c>
      <c r="Q50" s="31">
        <f t="shared" si="2"/>
        <v>0</v>
      </c>
      <c r="R50" s="31"/>
      <c r="S50" s="31"/>
      <c r="T50" s="31"/>
      <c r="U50" s="34">
        <f t="shared" si="5"/>
        <v>4.3393664187529435E-2</v>
      </c>
      <c r="V50" s="35"/>
      <c r="W50" s="36"/>
      <c r="X50" s="36"/>
      <c r="Y50" s="35"/>
      <c r="Z50" s="35"/>
      <c r="AA50" s="35"/>
      <c r="AB50" s="10"/>
      <c r="AC50" s="10"/>
      <c r="AD50" s="10"/>
      <c r="AE50" s="10"/>
      <c r="AF50" s="39"/>
      <c r="AG50" s="10"/>
      <c r="AH50" s="10"/>
      <c r="AI50" s="10"/>
    </row>
    <row r="51" spans="1:35" x14ac:dyDescent="0.25">
      <c r="A51" s="57" t="s">
        <v>81</v>
      </c>
      <c r="B51" s="57"/>
      <c r="C51" s="46">
        <f>'[1]Health Vote 2015-16'!AD51</f>
        <v>427491</v>
      </c>
      <c r="D51" s="58"/>
      <c r="E51" s="58"/>
      <c r="F51" s="58"/>
      <c r="G51" s="58"/>
      <c r="H51" s="58"/>
      <c r="I51" s="58"/>
      <c r="J51" s="58">
        <f>DHBProviderWageIncrease16</f>
        <v>2.4156418276994194E-2</v>
      </c>
      <c r="K51" s="58">
        <f t="shared" si="4"/>
        <v>0.62516534441323957</v>
      </c>
      <c r="L51" s="58"/>
      <c r="M51" s="58">
        <f t="shared" si="0"/>
        <v>0.37483465558676043</v>
      </c>
      <c r="N51" s="58">
        <f t="shared" si="3"/>
        <v>1.6E-2</v>
      </c>
      <c r="O51" s="58">
        <f t="shared" si="6"/>
        <v>2.5700000000000001E-2</v>
      </c>
      <c r="P51" s="58">
        <f t="shared" si="1"/>
        <v>0</v>
      </c>
      <c r="Q51" s="58">
        <f t="shared" si="2"/>
        <v>0</v>
      </c>
      <c r="R51" s="58"/>
      <c r="S51" s="58"/>
      <c r="T51" s="58"/>
      <c r="U51" s="59">
        <f t="shared" si="5"/>
        <v>4.7341357169377485E-2</v>
      </c>
      <c r="V51" s="60"/>
      <c r="W51" s="46"/>
      <c r="X51" s="46"/>
      <c r="Y51" s="60"/>
      <c r="Z51" s="60"/>
      <c r="AA51" s="43"/>
      <c r="AB51" s="10"/>
      <c r="AC51" s="10"/>
      <c r="AD51" s="10"/>
      <c r="AE51" s="10"/>
      <c r="AF51" s="39"/>
      <c r="AG51" s="10"/>
      <c r="AH51" s="10"/>
      <c r="AI51" s="10"/>
    </row>
    <row r="52" spans="1:35" x14ac:dyDescent="0.25">
      <c r="A52" s="61" t="s">
        <v>82</v>
      </c>
      <c r="C52" s="33">
        <f>SUM(C35:C51)</f>
        <v>2879540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62">
        <f t="array" ref="U52">SUM(C35:C51*U35:U51)/SUM(C35:C51)</f>
        <v>4.7255252142323165E-2</v>
      </c>
      <c r="V52" s="35"/>
      <c r="W52" s="33">
        <f>SUM(W35:W51)</f>
        <v>10000</v>
      </c>
      <c r="X52" s="33">
        <f t="array" ref="X52">SUM(C35:C51*(1+U35:U51)+W35:W51)</f>
        <v>3025613.388753905</v>
      </c>
      <c r="Z52" s="33">
        <f>X52-C52</f>
        <v>146073.38875390496</v>
      </c>
      <c r="AA52" s="33"/>
      <c r="AB52" s="10"/>
      <c r="AC52" s="10"/>
      <c r="AD52" s="10"/>
      <c r="AE52" s="10"/>
      <c r="AF52" s="39"/>
      <c r="AG52" s="39"/>
      <c r="AH52" s="10"/>
      <c r="AI52" s="10"/>
    </row>
    <row r="53" spans="1:35" x14ac:dyDescent="0.25"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58"/>
      <c r="V53" s="63" t="s">
        <v>63</v>
      </c>
      <c r="W53" s="15"/>
      <c r="X53" s="64">
        <f>X52-W52</f>
        <v>3015613.388753905</v>
      </c>
      <c r="Y53" s="65" t="s">
        <v>64</v>
      </c>
      <c r="Z53" s="66">
        <f>Z52/C52</f>
        <v>5.0728029044189334E-2</v>
      </c>
      <c r="AA53" s="10"/>
      <c r="AB53" s="10"/>
      <c r="AC53" s="10"/>
      <c r="AD53" s="10"/>
      <c r="AE53" s="10"/>
      <c r="AF53" s="39"/>
      <c r="AG53" s="10"/>
      <c r="AH53" s="10"/>
      <c r="AI53" s="10"/>
    </row>
    <row r="54" spans="1:35" x14ac:dyDescent="0.25">
      <c r="A54" s="67" t="s">
        <v>83</v>
      </c>
      <c r="B54" s="67"/>
      <c r="C54" s="68">
        <f>C52+C32</f>
        <v>14599367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62">
        <f t="array" ref="U54">SUM(C32:C51*U32:U51)/SUM(C32:C51)</f>
        <v>4.7080327898624742E-2</v>
      </c>
      <c r="W54" s="47">
        <f>W52+W32</f>
        <v>60000</v>
      </c>
      <c r="X54" s="33">
        <f>X32+X52</f>
        <v>15346709.985472362</v>
      </c>
      <c r="Y54" s="33">
        <f>C54*(1+U54)+W54</f>
        <v>15346709.985472361</v>
      </c>
      <c r="Z54" s="33">
        <f>Y54-C54</f>
        <v>747342.98547236063</v>
      </c>
      <c r="AA54" s="33"/>
      <c r="AB54" s="10"/>
      <c r="AC54" s="10"/>
      <c r="AD54" s="10"/>
      <c r="AE54" s="10"/>
      <c r="AF54" s="39"/>
      <c r="AG54" s="10"/>
      <c r="AH54" s="10"/>
      <c r="AI54" s="10"/>
    </row>
    <row r="55" spans="1:35" x14ac:dyDescent="0.25"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Y55" s="37"/>
      <c r="Z55" s="38"/>
      <c r="AA55" s="10"/>
      <c r="AB55" s="10"/>
      <c r="AC55" s="10"/>
      <c r="AD55" s="10"/>
      <c r="AE55" s="10"/>
      <c r="AF55" s="39"/>
      <c r="AG55" s="10"/>
      <c r="AH55" s="10"/>
      <c r="AI55" s="10"/>
    </row>
    <row r="56" spans="1:35" x14ac:dyDescent="0.25">
      <c r="A56" s="7" t="s">
        <v>84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Y56" s="33"/>
      <c r="Z56" s="38"/>
      <c r="AA56" s="38"/>
      <c r="AB56" s="10"/>
      <c r="AC56" s="10"/>
      <c r="AD56" s="10"/>
      <c r="AE56" s="10"/>
      <c r="AF56" s="39"/>
      <c r="AG56" s="39"/>
      <c r="AH56" s="10"/>
      <c r="AI56" s="10"/>
    </row>
    <row r="57" spans="1:35" x14ac:dyDescent="0.25"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4"/>
      <c r="Z57" s="38"/>
      <c r="AA57" s="38"/>
      <c r="AB57" s="10"/>
      <c r="AC57" s="10"/>
      <c r="AD57" s="10"/>
      <c r="AE57" s="10"/>
      <c r="AF57" s="10"/>
      <c r="AG57" s="10"/>
      <c r="AH57" s="10"/>
      <c r="AI57" s="10"/>
    </row>
    <row r="58" spans="1:35" x14ac:dyDescent="0.25">
      <c r="A58" s="67" t="s">
        <v>85</v>
      </c>
      <c r="B58" s="67"/>
      <c r="C58" s="68">
        <f>SUM(C55:C57)</f>
        <v>0</v>
      </c>
      <c r="D58" s="68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62">
        <f>IFERROR(SUM(C57*U57)/SUM(C57),U57)</f>
        <v>0</v>
      </c>
      <c r="X58" s="33">
        <f t="array" ref="X58">SUM(C55:C57*(1+U55:U57))</f>
        <v>0</v>
      </c>
      <c r="Y58" s="33">
        <f>X58</f>
        <v>0</v>
      </c>
      <c r="Z58" s="33">
        <f>X58-C58</f>
        <v>0</v>
      </c>
      <c r="AA58" s="33"/>
      <c r="AB58" s="10"/>
      <c r="AC58" s="10"/>
      <c r="AD58" s="10"/>
      <c r="AE58" s="10"/>
      <c r="AF58" s="10"/>
      <c r="AG58" s="10"/>
      <c r="AH58" s="10"/>
      <c r="AI58" s="10"/>
    </row>
    <row r="59" spans="1:35" x14ac:dyDescent="0.25"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Z59" s="38"/>
      <c r="AA59" s="38"/>
      <c r="AB59" s="10"/>
      <c r="AC59" s="10"/>
      <c r="AD59" s="10"/>
      <c r="AE59" s="10"/>
    </row>
    <row r="60" spans="1:35" x14ac:dyDescent="0.25">
      <c r="A60" s="7" t="s">
        <v>86</v>
      </c>
      <c r="B60" s="7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AB60" s="10"/>
      <c r="AC60" s="10"/>
      <c r="AD60" s="10"/>
      <c r="AE60" s="10"/>
    </row>
    <row r="61" spans="1:35" x14ac:dyDescent="0.25">
      <c r="A61" t="s">
        <v>87</v>
      </c>
      <c r="C61" s="36">
        <f>'[1]Health Vote 2015-16'!AD61</f>
        <v>2030</v>
      </c>
      <c r="D61" s="31"/>
      <c r="E61" s="31"/>
      <c r="F61" s="31"/>
      <c r="G61" s="31"/>
      <c r="H61" s="31"/>
      <c r="I61" s="31"/>
      <c r="J61" s="31"/>
      <c r="K61" s="31"/>
      <c r="L61" s="31"/>
      <c r="M61" s="31">
        <v>1</v>
      </c>
      <c r="N61" s="31">
        <f>NonLabourGeneralCostIncreases16</f>
        <v>1.6E-2</v>
      </c>
      <c r="O61" s="31"/>
      <c r="P61" s="31"/>
      <c r="Q61" s="31"/>
      <c r="R61" s="31"/>
      <c r="S61" s="31"/>
      <c r="T61" s="31"/>
      <c r="U61" s="34">
        <f>((1+D61)*E61+(1+F61)*G61+(1+H61)*I61+(1+J61)*K61+(1+L61+N61)*M61)*(1+O61)*(1+P61)*(1-Q61)+R61*(1+S61)-1</f>
        <v>1.6000000000000014E-2</v>
      </c>
      <c r="V61" s="35"/>
      <c r="W61" s="35"/>
      <c r="X61" s="36">
        <f>C61*(1+U61)</f>
        <v>2062.48</v>
      </c>
      <c r="Y61" s="35"/>
      <c r="Z61" s="35"/>
      <c r="AA61" s="35"/>
      <c r="AB61" s="10"/>
      <c r="AC61" s="10"/>
      <c r="AD61" s="10"/>
      <c r="AE61" s="10"/>
    </row>
    <row r="62" spans="1:35" x14ac:dyDescent="0.25">
      <c r="A62" t="s">
        <v>88</v>
      </c>
      <c r="C62" s="36">
        <f>'[1]Health Vote 2015-16'!AD62</f>
        <v>1028</v>
      </c>
      <c r="D62" s="31"/>
      <c r="E62" s="31"/>
      <c r="F62" s="31"/>
      <c r="G62" s="31"/>
      <c r="H62" s="31"/>
      <c r="I62" s="31"/>
      <c r="J62" s="31">
        <f>_LCI16</f>
        <v>1.7999999999999999E-2</v>
      </c>
      <c r="K62" s="31">
        <f>LabourProportion16</f>
        <v>0.62516534441323957</v>
      </c>
      <c r="L62" s="31"/>
      <c r="M62" s="31">
        <f>NonLabourProportion16</f>
        <v>0.37483465558676043</v>
      </c>
      <c r="N62" s="31">
        <f>NonLabourGeneralCostIncreases16</f>
        <v>1.6E-2</v>
      </c>
      <c r="O62" s="31"/>
      <c r="P62" s="31"/>
      <c r="Q62" s="31">
        <f>ProductivityGrowth16</f>
        <v>0</v>
      </c>
      <c r="R62" s="31"/>
      <c r="S62" s="31"/>
      <c r="T62" s="31"/>
      <c r="U62" s="34">
        <f>((1+D62)*E62+(1+F62)*G62+(1+H62)*I62+(1+J62)*K62+(1+L62+N62)*M62)*(1+O62)*(1+P62)*(1-Q62)+R62*(1+S62)-1</f>
        <v>1.7250330688826532E-2</v>
      </c>
      <c r="V62" s="35"/>
      <c r="W62" s="35"/>
      <c r="X62" s="36">
        <f>C62*(1+U62)</f>
        <v>1045.7333399481138</v>
      </c>
      <c r="Y62" s="35"/>
      <c r="Z62" s="35"/>
      <c r="AA62" s="35"/>
      <c r="AB62" s="10"/>
      <c r="AC62" s="10"/>
      <c r="AD62" s="10"/>
      <c r="AE62" s="10"/>
    </row>
    <row r="63" spans="1:35" x14ac:dyDescent="0.25">
      <c r="A63" t="s">
        <v>89</v>
      </c>
      <c r="C63" s="46">
        <f>'[1]Health Vote 2015-16'!AD63</f>
        <v>25414</v>
      </c>
      <c r="D63" s="31"/>
      <c r="E63" s="31"/>
      <c r="F63" s="31"/>
      <c r="G63" s="31"/>
      <c r="H63" s="31"/>
      <c r="I63" s="31"/>
      <c r="J63" s="31">
        <f>_LCI16</f>
        <v>1.7999999999999999E-2</v>
      </c>
      <c r="K63" s="31">
        <f>LabourProportion16</f>
        <v>0.62516534441323957</v>
      </c>
      <c r="L63" s="31"/>
      <c r="M63" s="31">
        <f>NonLabourProportion16</f>
        <v>0.37483465558676043</v>
      </c>
      <c r="N63" s="31">
        <f>NonLabourGeneralCostIncreases16</f>
        <v>1.6E-2</v>
      </c>
      <c r="O63" s="31"/>
      <c r="P63" s="31"/>
      <c r="Q63" s="31">
        <f>ProductivityGrowth16</f>
        <v>0</v>
      </c>
      <c r="R63" s="31"/>
      <c r="S63" s="31"/>
      <c r="T63" s="31"/>
      <c r="U63" s="34">
        <f>((1+D63)*E63+(1+F63)*G63+(1+H63)*I63+(1+J63)*K63+(1+L63+N63)*M63)*(1+O63)*(1+P63)*(1-Q63)+R63*(1+S63)-1</f>
        <v>1.7250330688826532E-2</v>
      </c>
      <c r="V63" s="35"/>
      <c r="W63" s="35"/>
      <c r="X63" s="36">
        <f>C63*(1+U63)</f>
        <v>25852.399904125836</v>
      </c>
      <c r="Y63" s="35"/>
      <c r="Z63" s="35"/>
      <c r="AA63" s="35"/>
      <c r="AB63" s="10"/>
      <c r="AC63" s="10"/>
      <c r="AD63" s="10"/>
      <c r="AE63" s="10"/>
    </row>
    <row r="64" spans="1:35" x14ac:dyDescent="0.25">
      <c r="A64" s="67" t="s">
        <v>90</v>
      </c>
      <c r="B64" s="67"/>
      <c r="C64" s="68">
        <f>SUM(C61:C63)</f>
        <v>28472</v>
      </c>
      <c r="D64" s="68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62">
        <f t="array" ref="U64">SUM(C61:C63*U61:U63)/SUM(C61:C63)</f>
        <v>1.7161184464524835E-2</v>
      </c>
      <c r="X64" s="33">
        <f t="array" ref="X64">SUM(C61:C63*(1+U61:U63))</f>
        <v>28960.613244073949</v>
      </c>
      <c r="Y64" s="33">
        <f>X64</f>
        <v>28960.613244073949</v>
      </c>
      <c r="Z64" s="33">
        <f>X64-C64</f>
        <v>488.61324407394932</v>
      </c>
      <c r="AA64" s="33"/>
      <c r="AB64" s="10"/>
      <c r="AC64" s="10"/>
      <c r="AD64" s="10"/>
      <c r="AE64" s="10"/>
    </row>
    <row r="65" spans="1:35" x14ac:dyDescent="0.25">
      <c r="A65" s="69"/>
      <c r="B65" s="69"/>
      <c r="C65" s="47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Y65" s="37"/>
      <c r="Z65" s="38"/>
      <c r="AA65" s="10"/>
      <c r="AB65" s="10"/>
      <c r="AC65" s="10"/>
      <c r="AD65" s="10"/>
      <c r="AE65" s="10"/>
    </row>
    <row r="66" spans="1:35" x14ac:dyDescent="0.25">
      <c r="A66" s="70" t="s">
        <v>91</v>
      </c>
      <c r="B66" s="70"/>
      <c r="C66" s="71">
        <f>C64+C58+C54+C8</f>
        <v>14820271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3">
        <f>(C8*U8+C54*U54+C58*U58+C64*U64)/(C8+C54+C64)</f>
        <v>4.6635524704747147E-2</v>
      </c>
      <c r="V66" s="74"/>
      <c r="W66" s="71">
        <f>W64+W54+W58+W8</f>
        <v>60000</v>
      </c>
      <c r="X66" s="71">
        <f>X64+X54+X58+X8</f>
        <v>15571422.114351548</v>
      </c>
      <c r="Y66" s="71">
        <f>Y64+Y54+Y58+Y8</f>
        <v>15571422.114351546</v>
      </c>
      <c r="Z66" s="71">
        <f>Z64+Z54+Z58+Z8</f>
        <v>751151.11435154686</v>
      </c>
      <c r="AA66" s="47"/>
      <c r="AB66" s="75"/>
      <c r="AC66" s="10"/>
      <c r="AD66" s="10"/>
      <c r="AE66" s="10"/>
    </row>
    <row r="67" spans="1:35" x14ac:dyDescent="0.25"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76"/>
      <c r="V67" s="52" t="s">
        <v>63</v>
      </c>
      <c r="X67" s="53">
        <f>X66-W66</f>
        <v>15511422.114351548</v>
      </c>
      <c r="Y67" s="37" t="s">
        <v>64</v>
      </c>
      <c r="Z67" s="54">
        <f>Z66/C66</f>
        <v>5.0684033669259276E-2</v>
      </c>
      <c r="AA67" s="10"/>
      <c r="AB67" s="10"/>
      <c r="AC67" s="10"/>
      <c r="AD67" s="10"/>
      <c r="AE67" s="10"/>
    </row>
    <row r="68" spans="1:35" x14ac:dyDescent="0.25">
      <c r="A68" s="7" t="s">
        <v>92</v>
      </c>
      <c r="B68" s="7"/>
      <c r="C68" s="38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55" t="s">
        <v>64</v>
      </c>
      <c r="W68" s="1"/>
      <c r="X68" s="53">
        <f>X67-C66</f>
        <v>691151.11435154825</v>
      </c>
      <c r="Y68" s="53"/>
      <c r="Z68" s="53"/>
      <c r="AA68" s="53"/>
      <c r="AB68" s="10"/>
      <c r="AC68" s="10"/>
      <c r="AD68" s="10"/>
      <c r="AE68" s="10"/>
    </row>
    <row r="69" spans="1:35" x14ac:dyDescent="0.25">
      <c r="A69" t="s">
        <v>93</v>
      </c>
      <c r="C69" s="46">
        <f>'[1]Health Vote 2015-16'!AD69</f>
        <v>15010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8">
        <f>CapitalGoodsProportion16</f>
        <v>1</v>
      </c>
      <c r="S69" s="58">
        <f>CapitalPI16</f>
        <v>3.1E-2</v>
      </c>
      <c r="T69" s="58"/>
      <c r="U69" s="58">
        <f>((1+D69)*E69+(1+F69)*G69+(1+H69)*I69+(1+L69+N69)*M69)*(1+O69)*(1+P69)+R69*(1+S69)-1</f>
        <v>3.0999999999999917E-2</v>
      </c>
      <c r="V69" s="15"/>
      <c r="W69" s="15"/>
      <c r="X69" s="46">
        <f>C69*(1+U69)</f>
        <v>15475.31</v>
      </c>
      <c r="Y69" s="15"/>
      <c r="Z69" s="15"/>
      <c r="AB69" s="10"/>
      <c r="AC69" s="10"/>
      <c r="AD69" s="10"/>
      <c r="AE69" s="10"/>
    </row>
    <row r="70" spans="1:35" x14ac:dyDescent="0.25">
      <c r="A70" s="67" t="s">
        <v>94</v>
      </c>
      <c r="B70" s="67"/>
      <c r="C70" s="68">
        <f>SUM(C69)</f>
        <v>15010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X70" s="33">
        <f t="array" ref="X70">SUM(C69*(1+U69))</f>
        <v>15475.31</v>
      </c>
      <c r="Z70" s="33">
        <f>X70-C70</f>
        <v>465.30999999999949</v>
      </c>
      <c r="AA70" s="33"/>
      <c r="AB70" s="10"/>
      <c r="AC70" s="10"/>
      <c r="AD70" s="10"/>
      <c r="AE70" s="10"/>
    </row>
    <row r="71" spans="1:35" x14ac:dyDescent="0.25">
      <c r="C71" s="38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Y71" s="37"/>
      <c r="Z71" s="38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x14ac:dyDescent="0.25">
      <c r="A72" s="7" t="s">
        <v>95</v>
      </c>
      <c r="B72" s="7"/>
      <c r="C72" s="38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AB72" s="10"/>
      <c r="AC72" s="10"/>
      <c r="AD72" s="10"/>
      <c r="AE72" s="10"/>
      <c r="AF72" s="10"/>
      <c r="AG72" s="10"/>
      <c r="AH72" s="10"/>
      <c r="AI72" s="10"/>
    </row>
    <row r="73" spans="1:35" x14ac:dyDescent="0.25">
      <c r="A73" t="s">
        <v>96</v>
      </c>
      <c r="C73" s="36">
        <f>'[1]Health Vote 2015-16'!AD73</f>
        <v>304000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>
        <f t="shared" ref="R73:R79" si="7">CapitalGoodsProportion16</f>
        <v>1</v>
      </c>
      <c r="S73" s="31">
        <f t="shared" ref="S73:S79" si="8">CapitalPI16</f>
        <v>3.1E-2</v>
      </c>
      <c r="T73" s="31"/>
      <c r="U73" s="31">
        <f t="shared" ref="U73:U79" si="9">((1+D73)*E73+(1+F73)*G73+(1+H73)*I73+(1+L73+N73)*M73)*(1+O73)*(1+P73)+R73*(1+S73)-1</f>
        <v>3.0999999999999917E-2</v>
      </c>
      <c r="X73" s="36">
        <f t="shared" ref="X73:X79" si="10">C73*(1+U73)</f>
        <v>313424</v>
      </c>
      <c r="AB73" s="10"/>
      <c r="AC73" s="10"/>
      <c r="AD73" s="10"/>
      <c r="AE73" s="10"/>
      <c r="AF73" s="10"/>
      <c r="AG73" s="10"/>
      <c r="AH73" s="10"/>
      <c r="AI73" s="10"/>
    </row>
    <row r="74" spans="1:35" x14ac:dyDescent="0.25">
      <c r="A74" s="77" t="s">
        <v>97</v>
      </c>
      <c r="C74" s="36">
        <f>'[1]Health Vote 2015-16'!AD74</f>
        <v>390000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>
        <f t="shared" si="7"/>
        <v>1</v>
      </c>
      <c r="S74" s="31">
        <f t="shared" si="8"/>
        <v>3.1E-2</v>
      </c>
      <c r="T74" s="31"/>
      <c r="U74" s="31">
        <f t="shared" si="9"/>
        <v>3.0999999999999917E-2</v>
      </c>
      <c r="X74" s="36">
        <f t="shared" si="10"/>
        <v>402089.99999999994</v>
      </c>
      <c r="AB74" s="10"/>
      <c r="AC74" s="10"/>
      <c r="AD74" s="10"/>
      <c r="AE74" s="10"/>
      <c r="AF74" s="10"/>
      <c r="AG74" s="10"/>
      <c r="AH74" s="10"/>
      <c r="AI74" s="10"/>
    </row>
    <row r="75" spans="1:35" x14ac:dyDescent="0.25">
      <c r="A75" s="77" t="s">
        <v>98</v>
      </c>
      <c r="C75" s="36">
        <f>'[1]Health Vote 2015-16'!AD75</f>
        <v>200100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>
        <f t="shared" si="7"/>
        <v>1</v>
      </c>
      <c r="S75" s="31">
        <f t="shared" si="8"/>
        <v>3.1E-2</v>
      </c>
      <c r="T75" s="31"/>
      <c r="U75" s="31">
        <f>((1+D75)*E75+(1+F75)*G75+(1+H75)*I75+(1+L75+N75)*M75)*(1+O75)*(1+P75)+R75*(1+S75)-1</f>
        <v>3.0999999999999917E-2</v>
      </c>
      <c r="X75" s="36">
        <f t="shared" si="10"/>
        <v>206303.09999999998</v>
      </c>
      <c r="AB75" s="10"/>
      <c r="AC75" s="10"/>
      <c r="AD75" s="10"/>
      <c r="AE75" s="10"/>
      <c r="AF75" s="10"/>
      <c r="AG75" s="10"/>
      <c r="AH75" s="10"/>
      <c r="AI75" s="10"/>
    </row>
    <row r="76" spans="1:35" x14ac:dyDescent="0.25">
      <c r="A76" t="s">
        <v>99</v>
      </c>
      <c r="C76" s="36">
        <f>'[1]Health Vote 2015-16'!AD76</f>
        <v>50000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>
        <f t="shared" si="7"/>
        <v>1</v>
      </c>
      <c r="S76" s="31">
        <f t="shared" si="8"/>
        <v>3.1E-2</v>
      </c>
      <c r="T76" s="31"/>
      <c r="U76" s="31">
        <f>((1+D76)*E76+(1+F76)*G76+(1+H76)*I76+(1+L76+N76)*M76)*(1+O76)*(1+P76)+R76*(1+S76)-1</f>
        <v>3.0999999999999917E-2</v>
      </c>
      <c r="X76" s="36">
        <f t="shared" si="10"/>
        <v>51549.999999999993</v>
      </c>
      <c r="AB76" s="10"/>
      <c r="AC76" s="10"/>
      <c r="AD76" s="10"/>
      <c r="AE76" s="10"/>
      <c r="AF76" s="10"/>
      <c r="AG76" s="10"/>
      <c r="AH76" s="10"/>
      <c r="AI76" s="10"/>
    </row>
    <row r="77" spans="1:35" x14ac:dyDescent="0.25">
      <c r="A77" t="s">
        <v>100</v>
      </c>
      <c r="C77" s="36">
        <f>'[1]Health Vote 2015-16'!AD77</f>
        <v>15000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>
        <f t="shared" si="7"/>
        <v>1</v>
      </c>
      <c r="S77" s="31">
        <f t="shared" si="8"/>
        <v>3.1E-2</v>
      </c>
      <c r="T77" s="31"/>
      <c r="U77" s="31">
        <f t="shared" si="9"/>
        <v>3.0999999999999917E-2</v>
      </c>
      <c r="X77" s="36">
        <f t="shared" si="10"/>
        <v>15464.999999999998</v>
      </c>
      <c r="AB77" s="10"/>
      <c r="AC77" s="10"/>
      <c r="AD77" s="10"/>
      <c r="AE77" s="10"/>
      <c r="AF77" s="10"/>
      <c r="AG77" s="10"/>
      <c r="AH77" s="10"/>
      <c r="AI77" s="10"/>
    </row>
    <row r="78" spans="1:35" x14ac:dyDescent="0.25">
      <c r="A78" t="s">
        <v>101</v>
      </c>
      <c r="C78" s="36">
        <f>'[1]Health Vote 2015-16'!AD78</f>
        <v>55000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>
        <f t="shared" si="7"/>
        <v>1</v>
      </c>
      <c r="S78" s="31">
        <f t="shared" si="8"/>
        <v>3.1E-2</v>
      </c>
      <c r="T78" s="31"/>
      <c r="U78" s="31">
        <f t="shared" si="9"/>
        <v>3.0999999999999917E-2</v>
      </c>
      <c r="X78" s="36">
        <f t="shared" si="10"/>
        <v>56704.999999999993</v>
      </c>
      <c r="AB78" s="10"/>
      <c r="AC78" s="10"/>
      <c r="AD78" s="10"/>
      <c r="AE78" s="10"/>
      <c r="AF78" s="10"/>
      <c r="AG78" s="10"/>
      <c r="AH78" s="10"/>
      <c r="AI78" s="10"/>
    </row>
    <row r="79" spans="1:35" x14ac:dyDescent="0.25">
      <c r="A79" t="s">
        <v>102</v>
      </c>
      <c r="C79" s="46">
        <f>'[1]Health Vote 2015-16'!AD79</f>
        <v>74000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8">
        <f t="shared" si="7"/>
        <v>1</v>
      </c>
      <c r="S79" s="58">
        <f t="shared" si="8"/>
        <v>3.1E-2</v>
      </c>
      <c r="T79" s="58"/>
      <c r="U79" s="58">
        <f t="shared" si="9"/>
        <v>3.0999999999999917E-2</v>
      </c>
      <c r="V79" s="15"/>
      <c r="W79" s="15"/>
      <c r="X79" s="46">
        <f t="shared" si="10"/>
        <v>76294</v>
      </c>
      <c r="Y79" s="15"/>
      <c r="Z79" s="15"/>
      <c r="AB79" s="10"/>
      <c r="AC79" s="10"/>
      <c r="AD79" s="10"/>
      <c r="AE79" s="10"/>
      <c r="AF79" s="10"/>
      <c r="AG79" s="10"/>
      <c r="AH79" s="10"/>
      <c r="AI79" s="10"/>
    </row>
    <row r="80" spans="1:35" x14ac:dyDescent="0.25">
      <c r="A80" s="67" t="s">
        <v>103</v>
      </c>
      <c r="B80" s="67"/>
      <c r="C80" s="68">
        <f>SUM(C73:C79)</f>
        <v>1088100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X80" s="33">
        <f t="array" ref="X80">SUM(C73:C79*(1+U73:U79))</f>
        <v>1121831.1000000001</v>
      </c>
      <c r="Z80" s="33">
        <f>X80-C80</f>
        <v>33731.100000000093</v>
      </c>
      <c r="AA80" s="33"/>
      <c r="AB80" s="10"/>
      <c r="AC80" s="10"/>
      <c r="AD80" s="10"/>
      <c r="AE80" s="10"/>
      <c r="AF80" s="10"/>
      <c r="AG80" s="10"/>
      <c r="AH80" s="10"/>
      <c r="AI80" s="10"/>
    </row>
    <row r="81" spans="1:35" x14ac:dyDescent="0.25">
      <c r="A81" s="69"/>
      <c r="B81" s="69"/>
      <c r="C81" s="47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Y81" s="37"/>
      <c r="Z81" s="38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 x14ac:dyDescent="0.25">
      <c r="A82" s="70" t="s">
        <v>104</v>
      </c>
      <c r="B82" s="70"/>
      <c r="C82" s="71">
        <f>C80+C70</f>
        <v>1103110</v>
      </c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>
        <f t="array" ref="U82">SUM(C69*U69,C73:C77*U73:U77)/SUM(C69,C73:C77)</f>
        <v>3.0999999999999917E-2</v>
      </c>
      <c r="V82" s="78"/>
      <c r="W82" s="78"/>
      <c r="X82" s="71">
        <f>X80+X70</f>
        <v>1137306.4100000001</v>
      </c>
      <c r="Y82" s="71">
        <f>X82</f>
        <v>1137306.4100000001</v>
      </c>
      <c r="Z82" s="71">
        <f>Z80+Z70</f>
        <v>34196.410000000091</v>
      </c>
      <c r="AA82" s="47"/>
      <c r="AB82" s="10"/>
      <c r="AC82" s="10"/>
      <c r="AD82" s="10"/>
      <c r="AE82" s="10"/>
      <c r="AF82" s="10"/>
      <c r="AG82" s="10"/>
      <c r="AH82" s="10"/>
      <c r="AI82" s="10"/>
    </row>
    <row r="83" spans="1:35" x14ac:dyDescent="0.25"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Z83" s="38"/>
      <c r="AA83" s="38"/>
      <c r="AB83" s="10"/>
      <c r="AC83" s="10"/>
      <c r="AD83" s="10"/>
      <c r="AE83" s="10"/>
      <c r="AF83" s="10"/>
      <c r="AG83" s="10"/>
      <c r="AH83" s="10"/>
      <c r="AI83" s="10"/>
    </row>
    <row r="84" spans="1:35" ht="15.75" thickBot="1" x14ac:dyDescent="0.3">
      <c r="A84" s="79" t="s">
        <v>105</v>
      </c>
      <c r="B84" s="79"/>
      <c r="C84" s="80">
        <f>C82+C66</f>
        <v>15923381</v>
      </c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2">
        <f>(C66*U66+C82*U82)/(C66+C82)</f>
        <v>4.5552356271042413E-2</v>
      </c>
      <c r="V84" s="83"/>
      <c r="W84" s="83"/>
      <c r="X84" s="83"/>
      <c r="Y84" s="80">
        <f>Y82+Y66</f>
        <v>16708728.524351547</v>
      </c>
      <c r="Z84" s="80">
        <f>Z82+Z66</f>
        <v>785347.52435154701</v>
      </c>
      <c r="AA84" s="47"/>
      <c r="AB84" s="10"/>
      <c r="AC84" s="10"/>
      <c r="AD84" s="10"/>
      <c r="AE84" s="10"/>
      <c r="AF84" s="10"/>
      <c r="AG84" s="10"/>
      <c r="AH84" s="10"/>
      <c r="AI84" s="10"/>
    </row>
    <row r="85" spans="1:35" ht="15.75" thickTop="1" x14ac:dyDescent="0.25">
      <c r="Z85" s="38"/>
      <c r="AA85" s="38"/>
      <c r="AB85" s="10"/>
      <c r="AC85" s="10"/>
      <c r="AD85" s="10"/>
      <c r="AE85" s="10"/>
      <c r="AF85" s="10"/>
      <c r="AG85" s="10"/>
      <c r="AH85" s="10"/>
      <c r="AI85" s="10"/>
    </row>
    <row r="86" spans="1:35" x14ac:dyDescent="0.25">
      <c r="A86" s="84" t="s">
        <v>20</v>
      </c>
      <c r="B86" s="85" t="s">
        <v>106</v>
      </c>
      <c r="C86" s="85" t="s">
        <v>107</v>
      </c>
      <c r="D86" s="85" t="s">
        <v>108</v>
      </c>
      <c r="AB86" s="10"/>
      <c r="AC86" s="10"/>
      <c r="AD86" s="10"/>
      <c r="AE86" s="10"/>
      <c r="AF86" s="10"/>
      <c r="AG86" s="10"/>
      <c r="AH86" s="10"/>
      <c r="AI86" s="10"/>
    </row>
    <row r="87" spans="1:35" x14ac:dyDescent="0.25">
      <c r="A87" t="s">
        <v>109</v>
      </c>
      <c r="B87" t="s">
        <v>41</v>
      </c>
      <c r="C87" s="36">
        <v>11000</v>
      </c>
    </row>
    <row r="88" spans="1:35" x14ac:dyDescent="0.25">
      <c r="A88" t="s">
        <v>110</v>
      </c>
      <c r="B88" s="86" t="s">
        <v>41</v>
      </c>
      <c r="C88" s="36">
        <v>39000</v>
      </c>
    </row>
    <row r="89" spans="1:35" x14ac:dyDescent="0.25">
      <c r="A89" t="s">
        <v>111</v>
      </c>
      <c r="B89" s="86" t="s">
        <v>70</v>
      </c>
      <c r="C89" s="36">
        <v>10000</v>
      </c>
      <c r="D89" s="36">
        <v>97000</v>
      </c>
    </row>
    <row r="90" spans="1:35" x14ac:dyDescent="0.25">
      <c r="C90" s="36"/>
    </row>
    <row r="91" spans="1:35" x14ac:dyDescent="0.25">
      <c r="C91" s="36"/>
    </row>
    <row r="93" spans="1:35" x14ac:dyDescent="0.25">
      <c r="Q93" s="87"/>
    </row>
    <row r="95" spans="1:35" x14ac:dyDescent="0.25">
      <c r="P95" s="87"/>
    </row>
    <row r="96" spans="1:35" x14ac:dyDescent="0.25">
      <c r="P96" s="87"/>
    </row>
  </sheetData>
  <mergeCells count="1">
    <mergeCell ref="D1:Z1"/>
  </mergeCells>
  <pageMargins left="0.25" right="0.25" top="0.75" bottom="0.75" header="0.3" footer="0.3"/>
  <pageSetup paperSize="8" scale="4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27</vt:i4>
      </vt:variant>
    </vt:vector>
  </HeadingPairs>
  <TitlesOfParts>
    <vt:vector size="28" baseType="lpstr">
      <vt:lpstr>Health Vote 2016-17 pre-Budget</vt:lpstr>
      <vt:lpstr>'Health Vote 2016-17 pre-Budget'!_CPI16</vt:lpstr>
      <vt:lpstr>'Health Vote 2016-17 pre-Budget'!_LCI16</vt:lpstr>
      <vt:lpstr>'Health Vote 2016-17 pre-Budget'!BirthGrowth16</vt:lpstr>
      <vt:lpstr>'Health Vote 2016-17 pre-Budget'!CapitalGoodsProportion16</vt:lpstr>
      <vt:lpstr>'Health Vote 2016-17 pre-Budget'!CapitalPI16</vt:lpstr>
      <vt:lpstr>'Health Vote 2016-17 pre-Budget'!ChildPopGrowth16</vt:lpstr>
      <vt:lpstr>'Health Vote 2016-17 pre-Budget'!DHBFundedProportion16</vt:lpstr>
      <vt:lpstr>'Health Vote 2016-17 pre-Budget'!DHBFundedWageIncreases16</vt:lpstr>
      <vt:lpstr>'Health Vote 2016-17 pre-Budget'!DHBProviderProportion16</vt:lpstr>
      <vt:lpstr>DHBProviderWageIncrease16</vt:lpstr>
      <vt:lpstr>HighMinWageSectorWageIncrease</vt:lpstr>
      <vt:lpstr>'Health Vote 2016-17 pre-Budget'!LabourProportion16</vt:lpstr>
      <vt:lpstr>'Health Vote 2016-17 pre-Budget'!MedicalProportion16</vt:lpstr>
      <vt:lpstr>'Health Vote 2016-17 pre-Budget'!MedicalSalaryIncreases16</vt:lpstr>
      <vt:lpstr>MedicalSalaryIncreases16</vt:lpstr>
      <vt:lpstr>'Health Vote 2016-17 pre-Budget'!NDGandProdSwitch16</vt:lpstr>
      <vt:lpstr>'Health Vote 2016-17 pre-Budget'!NonDemographicGrowth16</vt:lpstr>
      <vt:lpstr>'Health Vote 2016-17 pre-Budget'!NonLabourGeneralCostIncreases16</vt:lpstr>
      <vt:lpstr>'Health Vote 2016-17 pre-Budget'!NonLabourHealthServicesCostIncrease16</vt:lpstr>
      <vt:lpstr>'Health Vote 2016-17 pre-Budget'!NonLabourProportion16</vt:lpstr>
      <vt:lpstr>'Health Vote 2016-17 pre-Budget'!NursingProportion16</vt:lpstr>
      <vt:lpstr>'Health Vote 2016-17 pre-Budget'!NursingSalaryIncrease16</vt:lpstr>
      <vt:lpstr>'Health Vote 2016-17 pre-Budget'!OtherDHBWageIncreases16</vt:lpstr>
      <vt:lpstr>OtherWageIncreases16</vt:lpstr>
      <vt:lpstr>'Health Vote 2016-17 pre-Budget'!OtherWageProportion16</vt:lpstr>
      <vt:lpstr>'Health Vote 2016-17 pre-Budget'!PopulationGrowth16</vt:lpstr>
      <vt:lpstr>'Health Vote 2016-17 pre-Budget'!ProductivityGrowth16</vt:lpstr>
    </vt:vector>
  </TitlesOfParts>
  <Company>NZCTU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Rosenberg</dc:creator>
  <cp:lastModifiedBy>Bill Rosenberg</cp:lastModifiedBy>
  <dcterms:created xsi:type="dcterms:W3CDTF">2016-05-23T01:14:32Z</dcterms:created>
  <dcterms:modified xsi:type="dcterms:W3CDTF">2016-05-23T01:37:37Z</dcterms:modified>
</cp:coreProperties>
</file>