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 not remove - Bill's\CTU\Health\Health vote\"/>
    </mc:Choice>
  </mc:AlternateContent>
  <bookViews>
    <workbookView xWindow="0" yWindow="0" windowWidth="28065" windowHeight="12000"/>
  </bookViews>
  <sheets>
    <sheet name="Health Vote 2017-18 pre-Budget" sheetId="1" r:id="rId1"/>
    <sheet name="DHB Stats" sheetId="2" r:id="rId2"/>
    <sheet name="Notes 2017-18 pre-Budget" sheetId="4" r:id="rId3"/>
  </sheets>
  <definedNames>
    <definedName name="_CPI17" localSheetId="0">'Health Vote 2017-18 pre-Budget'!$AC$4</definedName>
    <definedName name="AllIndustriesWageIncr17" localSheetId="0">'Health Vote 2017-18 pre-Budget'!$AH$4</definedName>
    <definedName name="BirthGrowth17" localSheetId="0">'Health Vote 2017-18 pre-Budget'!$AD$4</definedName>
    <definedName name="CapitalGoodsProportion17" localSheetId="0">'Health Vote 2017-18 pre-Budget'!$R$4</definedName>
    <definedName name="CapitalPI17" localSheetId="0">'Health Vote 2017-18 pre-Budget'!$S$4</definedName>
    <definedName name="ChildPopGrowth17" localSheetId="0">'Health Vote 2017-18 pre-Budget'!$AE$4</definedName>
    <definedName name="DHBFundedProportion17" localSheetId="0">'Health Vote 2017-18 pre-Budget'!$K$4</definedName>
    <definedName name="DHBFundedWageIncreases17" localSheetId="0">'Health Vote 2017-18 pre-Budget'!$J$4</definedName>
    <definedName name="DHBProviderProportion17" localSheetId="0">'Health Vote 2017-18 pre-Budget'!$AI$4</definedName>
    <definedName name="DHBProviderWageIncrease17" localSheetId="0">'Health Vote 2017-18 pre-Budget'!$AF$4</definedName>
    <definedName name="HighMinWageSectorWageIncrease17" localSheetId="0">'Health Vote 2017-18 pre-Budget'!$AJ$4</definedName>
    <definedName name="LabourProportion17" localSheetId="0">'Health Vote 2017-18 pre-Budget'!$AB$4</definedName>
    <definedName name="MedicalProportion17" localSheetId="0">'Health Vote 2017-18 pre-Budget'!$E$4</definedName>
    <definedName name="MedicalSalaryIncreases17" localSheetId="0">'Health Vote 2017-18 pre-Budget'!$D$4</definedName>
    <definedName name="NDGandProdSwitch17" localSheetId="0">'Health Vote 2017-18 pre-Budget'!$C$1</definedName>
    <definedName name="NonDemographicGrowth17" localSheetId="0">'Health Vote 2017-18 pre-Budget'!$P$4</definedName>
    <definedName name="NonLabourGeneralCostIncreases17" localSheetId="0">'Health Vote 2017-18 pre-Budget'!$N$4</definedName>
    <definedName name="NonLabourHealthServicesCostIncrease17" localSheetId="0">'Health Vote 2017-18 pre-Budget'!$L$4</definedName>
    <definedName name="NonLabourProportion17" localSheetId="0">'Health Vote 2017-18 pre-Budget'!$M$4</definedName>
    <definedName name="NursingProportion17" localSheetId="0">'Health Vote 2017-18 pre-Budget'!$G$4</definedName>
    <definedName name="NursingSalaryIncrease17" localSheetId="0">'Health Vote 2017-18 pre-Budget'!$F$4</definedName>
    <definedName name="OtherDHBWageIncreases17" localSheetId="0">'Health Vote 2017-18 pre-Budget'!$H$4</definedName>
    <definedName name="OtherWageProportion17" localSheetId="0">'Health Vote 2017-18 pre-Budget'!$I$4</definedName>
    <definedName name="OtherWagesIncreases17">'Health Vote 2017-18 pre-Budget'!$AK$4</definedName>
    <definedName name="PopulationGrowth17" localSheetId="0">'Health Vote 2017-18 pre-Budget'!$O$4</definedName>
    <definedName name="ProductivityGrowth17" localSheetId="0">'Health Vote 2017-18 pre-Budget'!$Q$4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4" i="4" l="1"/>
  <c r="M44" i="4" s="1"/>
  <c r="G44" i="4"/>
  <c r="N44" i="4" s="1"/>
  <c r="D44" i="4"/>
  <c r="J43" i="4"/>
  <c r="M43" i="4" s="1"/>
  <c r="O43" i="4" s="1"/>
  <c r="W31" i="1" s="1"/>
  <c r="G43" i="4"/>
  <c r="N43" i="4" s="1"/>
  <c r="D43" i="4"/>
  <c r="N42" i="4"/>
  <c r="J42" i="4"/>
  <c r="M42" i="4" s="1"/>
  <c r="O42" i="4" s="1"/>
  <c r="G42" i="4"/>
  <c r="D42" i="4"/>
  <c r="J41" i="4"/>
  <c r="M41" i="4" s="1"/>
  <c r="O41" i="4" s="1"/>
  <c r="W29" i="1" s="1"/>
  <c r="G41" i="4"/>
  <c r="N41" i="4" s="1"/>
  <c r="D41" i="4"/>
  <c r="N40" i="4"/>
  <c r="J40" i="4"/>
  <c r="G40" i="4"/>
  <c r="D40" i="4"/>
  <c r="M39" i="4"/>
  <c r="O39" i="4" s="1"/>
  <c r="W27" i="1" s="1"/>
  <c r="J39" i="4"/>
  <c r="G39" i="4"/>
  <c r="N39" i="4" s="1"/>
  <c r="D39" i="4"/>
  <c r="J38" i="4"/>
  <c r="G38" i="4"/>
  <c r="N38" i="4" s="1"/>
  <c r="D38" i="4"/>
  <c r="M37" i="4"/>
  <c r="J37" i="4"/>
  <c r="G37" i="4"/>
  <c r="N37" i="4" s="1"/>
  <c r="D37" i="4"/>
  <c r="J36" i="4"/>
  <c r="M36" i="4" s="1"/>
  <c r="O36" i="4" s="1"/>
  <c r="W24" i="1" s="1"/>
  <c r="G36" i="4"/>
  <c r="N36" i="4" s="1"/>
  <c r="D36" i="4"/>
  <c r="N35" i="4"/>
  <c r="M35" i="4"/>
  <c r="O35" i="4" s="1"/>
  <c r="J35" i="4"/>
  <c r="G35" i="4"/>
  <c r="D35" i="4"/>
  <c r="N34" i="4"/>
  <c r="J34" i="4"/>
  <c r="G34" i="4"/>
  <c r="D34" i="4"/>
  <c r="M33" i="4"/>
  <c r="O33" i="4" s="1"/>
  <c r="J33" i="4"/>
  <c r="G33" i="4"/>
  <c r="N33" i="4" s="1"/>
  <c r="D33" i="4"/>
  <c r="J32" i="4"/>
  <c r="G32" i="4"/>
  <c r="N32" i="4" s="1"/>
  <c r="D32" i="4"/>
  <c r="M31" i="4"/>
  <c r="J31" i="4"/>
  <c r="G31" i="4"/>
  <c r="N31" i="4" s="1"/>
  <c r="D31" i="4"/>
  <c r="J30" i="4"/>
  <c r="M30" i="4" s="1"/>
  <c r="O30" i="4" s="1"/>
  <c r="G30" i="4"/>
  <c r="N30" i="4" s="1"/>
  <c r="D30" i="4"/>
  <c r="J29" i="4"/>
  <c r="M29" i="4" s="1"/>
  <c r="O29" i="4" s="1"/>
  <c r="W17" i="1" s="1"/>
  <c r="G29" i="4"/>
  <c r="N29" i="4" s="1"/>
  <c r="D29" i="4"/>
  <c r="N28" i="4"/>
  <c r="J28" i="4"/>
  <c r="M28" i="4" s="1"/>
  <c r="O28" i="4" s="1"/>
  <c r="W16" i="1" s="1"/>
  <c r="G28" i="4"/>
  <c r="D28" i="4"/>
  <c r="J27" i="4"/>
  <c r="M27" i="4" s="1"/>
  <c r="O27" i="4" s="1"/>
  <c r="G27" i="4"/>
  <c r="N27" i="4" s="1"/>
  <c r="D27" i="4"/>
  <c r="N26" i="4"/>
  <c r="J26" i="4"/>
  <c r="G26" i="4"/>
  <c r="D26" i="4"/>
  <c r="M25" i="4"/>
  <c r="O25" i="4" s="1"/>
  <c r="J25" i="4"/>
  <c r="G25" i="4"/>
  <c r="N25" i="4" s="1"/>
  <c r="D25" i="4"/>
  <c r="J24" i="4"/>
  <c r="G24" i="4"/>
  <c r="N24" i="4" s="1"/>
  <c r="D24" i="4"/>
  <c r="C19" i="4"/>
  <c r="B12" i="4"/>
  <c r="D11" i="4"/>
  <c r="C10" i="4"/>
  <c r="C9" i="4"/>
  <c r="C5" i="4"/>
  <c r="C6" i="4" s="1"/>
  <c r="V184" i="2"/>
  <c r="R184" i="2"/>
  <c r="U183" i="2"/>
  <c r="T183" i="2"/>
  <c r="P183" i="2"/>
  <c r="W182" i="2"/>
  <c r="S182" i="2"/>
  <c r="O182" i="2"/>
  <c r="V180" i="2"/>
  <c r="R180" i="2"/>
  <c r="P179" i="2"/>
  <c r="W178" i="2"/>
  <c r="V178" i="2"/>
  <c r="T178" i="2"/>
  <c r="R178" i="2"/>
  <c r="O178" i="2"/>
  <c r="W177" i="2"/>
  <c r="U177" i="2"/>
  <c r="T177" i="2"/>
  <c r="S177" i="2"/>
  <c r="Q177" i="2"/>
  <c r="P177" i="2"/>
  <c r="O176" i="2"/>
  <c r="P175" i="2"/>
  <c r="O174" i="2"/>
  <c r="W174" i="2"/>
  <c r="T174" i="2"/>
  <c r="S174" i="2"/>
  <c r="P174" i="2"/>
  <c r="U171" i="2"/>
  <c r="R171" i="2"/>
  <c r="W170" i="2"/>
  <c r="W169" i="2"/>
  <c r="U169" i="2"/>
  <c r="S169" i="2"/>
  <c r="Q169" i="2"/>
  <c r="U167" i="2"/>
  <c r="T167" i="2"/>
  <c r="Q167" i="2"/>
  <c r="O166" i="2"/>
  <c r="V165" i="2"/>
  <c r="R165" i="2"/>
  <c r="O165" i="2"/>
  <c r="U164" i="2"/>
  <c r="Q164" i="2"/>
  <c r="T163" i="2"/>
  <c r="P163" i="2"/>
  <c r="W162" i="2"/>
  <c r="T162" i="2"/>
  <c r="P162" i="2"/>
  <c r="O162" i="2"/>
  <c r="C150" i="2"/>
  <c r="B150" i="2"/>
  <c r="G31" i="1"/>
  <c r="G29" i="1"/>
  <c r="G27" i="1"/>
  <c r="E25" i="1"/>
  <c r="E24" i="1"/>
  <c r="C125" i="2"/>
  <c r="E22" i="1"/>
  <c r="E20" i="1"/>
  <c r="Q69" i="2"/>
  <c r="G18" i="1"/>
  <c r="G16" i="1"/>
  <c r="G12" i="1"/>
  <c r="K101" i="2"/>
  <c r="K98" i="2"/>
  <c r="W84" i="2"/>
  <c r="T84" i="2"/>
  <c r="O84" i="2"/>
  <c r="D107" i="2"/>
  <c r="P107" i="2" s="1"/>
  <c r="Q81" i="2"/>
  <c r="T80" i="2"/>
  <c r="P80" i="2"/>
  <c r="V79" i="2"/>
  <c r="N79" i="2"/>
  <c r="W79" i="2"/>
  <c r="S79" i="2"/>
  <c r="Q79" i="2"/>
  <c r="O79" i="2"/>
  <c r="V78" i="2"/>
  <c r="U78" i="2"/>
  <c r="T78" i="2"/>
  <c r="R78" i="2"/>
  <c r="P78" i="2"/>
  <c r="N78" i="2"/>
  <c r="U77" i="2"/>
  <c r="R77" i="2"/>
  <c r="E102" i="2"/>
  <c r="Q102" i="2" s="1"/>
  <c r="J100" i="2"/>
  <c r="V100" i="2" s="1"/>
  <c r="Q75" i="2"/>
  <c r="F99" i="2"/>
  <c r="R99" i="2" s="1"/>
  <c r="O73" i="2"/>
  <c r="B75" i="2"/>
  <c r="U72" i="2"/>
  <c r="V72" i="2"/>
  <c r="T72" i="2"/>
  <c r="S72" i="2"/>
  <c r="R72" i="2"/>
  <c r="Q72" i="2"/>
  <c r="P72" i="2"/>
  <c r="V71" i="2"/>
  <c r="O71" i="2"/>
  <c r="N71" i="2"/>
  <c r="N70" i="2"/>
  <c r="V70" i="2"/>
  <c r="U70" i="2"/>
  <c r="S70" i="2"/>
  <c r="Q70" i="2"/>
  <c r="W69" i="2"/>
  <c r="R69" i="2"/>
  <c r="O69" i="2"/>
  <c r="U68" i="2"/>
  <c r="V68" i="2"/>
  <c r="T68" i="2"/>
  <c r="S68" i="2"/>
  <c r="R68" i="2"/>
  <c r="Q68" i="2"/>
  <c r="P68" i="2"/>
  <c r="N68" i="2"/>
  <c r="W67" i="2"/>
  <c r="V67" i="2"/>
  <c r="U67" i="2"/>
  <c r="Q67" i="2"/>
  <c r="O67" i="2"/>
  <c r="N67" i="2"/>
  <c r="V66" i="2"/>
  <c r="U66" i="2"/>
  <c r="R66" i="2"/>
  <c r="Q66" i="2"/>
  <c r="N66" i="2"/>
  <c r="W65" i="2"/>
  <c r="S65" i="2"/>
  <c r="O65" i="2"/>
  <c r="N64" i="2"/>
  <c r="W64" i="2"/>
  <c r="V64" i="2"/>
  <c r="T64" i="2"/>
  <c r="S64" i="2"/>
  <c r="Q64" i="2"/>
  <c r="P64" i="2"/>
  <c r="V63" i="2"/>
  <c r="U63" i="2"/>
  <c r="O63" i="2"/>
  <c r="N63" i="2"/>
  <c r="V62" i="2"/>
  <c r="U62" i="2"/>
  <c r="R62" i="2"/>
  <c r="Q62" i="2"/>
  <c r="N62" i="2"/>
  <c r="W59" i="2"/>
  <c r="T59" i="2"/>
  <c r="S59" i="2"/>
  <c r="O59" i="2"/>
  <c r="E31" i="1"/>
  <c r="O58" i="2"/>
  <c r="W58" i="2"/>
  <c r="M31" i="1" s="1"/>
  <c r="V58" i="2"/>
  <c r="U58" i="2"/>
  <c r="T58" i="2"/>
  <c r="S58" i="2"/>
  <c r="R58" i="2"/>
  <c r="Q58" i="2"/>
  <c r="D108" i="2"/>
  <c r="P108" i="2" s="1"/>
  <c r="N58" i="2"/>
  <c r="E30" i="1"/>
  <c r="W57" i="2"/>
  <c r="V57" i="2"/>
  <c r="S57" i="2"/>
  <c r="R57" i="2"/>
  <c r="O57" i="2"/>
  <c r="N57" i="2"/>
  <c r="V56" i="2"/>
  <c r="U56" i="2"/>
  <c r="R56" i="2"/>
  <c r="Q56" i="2"/>
  <c r="N56" i="2"/>
  <c r="W55" i="2"/>
  <c r="AA55" i="2" s="1"/>
  <c r="T55" i="2"/>
  <c r="S55" i="2"/>
  <c r="P55" i="2"/>
  <c r="O55" i="2"/>
  <c r="V54" i="2"/>
  <c r="U54" i="2"/>
  <c r="T54" i="2"/>
  <c r="R54" i="2"/>
  <c r="E104" i="2"/>
  <c r="Q104" i="2" s="1"/>
  <c r="P54" i="2"/>
  <c r="N54" i="2"/>
  <c r="W53" i="2"/>
  <c r="V53" i="2"/>
  <c r="U53" i="2"/>
  <c r="T53" i="2"/>
  <c r="S53" i="2"/>
  <c r="R53" i="2"/>
  <c r="Q53" i="2"/>
  <c r="P53" i="2"/>
  <c r="O53" i="2"/>
  <c r="N53" i="2"/>
  <c r="U52" i="2"/>
  <c r="R52" i="2"/>
  <c r="Q52" i="2"/>
  <c r="N52" i="2"/>
  <c r="O51" i="2"/>
  <c r="N51" i="2"/>
  <c r="G24" i="1"/>
  <c r="V50" i="2"/>
  <c r="U50" i="2"/>
  <c r="R50" i="2"/>
  <c r="Q50" i="2"/>
  <c r="W49" i="2"/>
  <c r="V49" i="2"/>
  <c r="U49" i="2"/>
  <c r="T49" i="2"/>
  <c r="S49" i="2"/>
  <c r="R49" i="2"/>
  <c r="Q49" i="2"/>
  <c r="O49" i="2"/>
  <c r="N49" i="2"/>
  <c r="G22" i="1"/>
  <c r="J97" i="2"/>
  <c r="V97" i="2" s="1"/>
  <c r="U47" i="2"/>
  <c r="S47" i="2"/>
  <c r="R47" i="2"/>
  <c r="Q47" i="2"/>
  <c r="N47" i="2"/>
  <c r="W46" i="2"/>
  <c r="T46" i="2"/>
  <c r="S46" i="2"/>
  <c r="P46" i="2"/>
  <c r="O46" i="2"/>
  <c r="W45" i="2"/>
  <c r="V45" i="2"/>
  <c r="U45" i="2"/>
  <c r="T45" i="2"/>
  <c r="S45" i="2"/>
  <c r="R45" i="2"/>
  <c r="Q45" i="2"/>
  <c r="P45" i="2"/>
  <c r="O45" i="2"/>
  <c r="W44" i="2"/>
  <c r="AA44" i="2" s="1"/>
  <c r="V44" i="2"/>
  <c r="T44" i="2"/>
  <c r="S44" i="2"/>
  <c r="R44" i="2"/>
  <c r="P44" i="2"/>
  <c r="O44" i="2"/>
  <c r="N44" i="2"/>
  <c r="J93" i="2"/>
  <c r="V93" i="2" s="1"/>
  <c r="U43" i="2"/>
  <c r="R43" i="2"/>
  <c r="Q43" i="2"/>
  <c r="N43" i="2"/>
  <c r="W42" i="2"/>
  <c r="T42" i="2"/>
  <c r="S42" i="2"/>
  <c r="P42" i="2"/>
  <c r="O42" i="2"/>
  <c r="V41" i="2"/>
  <c r="U41" i="2"/>
  <c r="T41" i="2"/>
  <c r="R41" i="2"/>
  <c r="P41" i="2"/>
  <c r="N41" i="2"/>
  <c r="W40" i="2"/>
  <c r="T40" i="2"/>
  <c r="S40" i="2"/>
  <c r="P40" i="2"/>
  <c r="E14" i="1"/>
  <c r="V39" i="2"/>
  <c r="U39" i="2"/>
  <c r="R39" i="2"/>
  <c r="Q39" i="2"/>
  <c r="B89" i="2"/>
  <c r="N89" i="2" s="1"/>
  <c r="W38" i="2"/>
  <c r="U38" i="2"/>
  <c r="T38" i="2"/>
  <c r="S38" i="2"/>
  <c r="P38" i="2"/>
  <c r="O38" i="2"/>
  <c r="W37" i="2"/>
  <c r="T37" i="2"/>
  <c r="R37" i="2"/>
  <c r="Q37" i="2"/>
  <c r="P37" i="2"/>
  <c r="N37" i="2"/>
  <c r="AI4" i="1"/>
  <c r="E4" i="1" s="1"/>
  <c r="E32" i="1" s="1"/>
  <c r="G28" i="1"/>
  <c r="K26" i="1"/>
  <c r="K21" i="1"/>
  <c r="E19" i="1"/>
  <c r="G13" i="1"/>
  <c r="T5" i="2"/>
  <c r="P5" i="2"/>
  <c r="W4" i="2"/>
  <c r="S4" i="2"/>
  <c r="O5" i="2"/>
  <c r="C90" i="1"/>
  <c r="C89" i="1"/>
  <c r="C86" i="1"/>
  <c r="C79" i="1"/>
  <c r="S78" i="1"/>
  <c r="R78" i="1"/>
  <c r="U78" i="1" s="1"/>
  <c r="X78" i="1" s="1"/>
  <c r="S77" i="1"/>
  <c r="R77" i="1"/>
  <c r="U77" i="1" s="1"/>
  <c r="X77" i="1" s="1"/>
  <c r="S76" i="1"/>
  <c r="R76" i="1"/>
  <c r="X75" i="1"/>
  <c r="S75" i="1"/>
  <c r="R75" i="1"/>
  <c r="U75" i="1" s="1"/>
  <c r="S74" i="1"/>
  <c r="R74" i="1"/>
  <c r="U74" i="1" s="1"/>
  <c r="X74" i="1" s="1"/>
  <c r="S73" i="1"/>
  <c r="R73" i="1"/>
  <c r="U73" i="1" s="1"/>
  <c r="X73" i="1" s="1"/>
  <c r="S72" i="1"/>
  <c r="R72" i="1"/>
  <c r="C69" i="1"/>
  <c r="C81" i="1" s="1"/>
  <c r="S68" i="1"/>
  <c r="R68" i="1"/>
  <c r="U68" i="1" s="1"/>
  <c r="C63" i="1"/>
  <c r="J62" i="1"/>
  <c r="J61" i="1"/>
  <c r="X57" i="1"/>
  <c r="Z57" i="1" s="1"/>
  <c r="X57" i="1" a="1"/>
  <c r="U57" i="1"/>
  <c r="C57" i="1"/>
  <c r="C50" i="1"/>
  <c r="O49" i="1"/>
  <c r="O48" i="1"/>
  <c r="J48" i="1"/>
  <c r="O47" i="1"/>
  <c r="J47" i="1"/>
  <c r="O46" i="1"/>
  <c r="P44" i="1"/>
  <c r="O44" i="1"/>
  <c r="O43" i="1"/>
  <c r="J43" i="1"/>
  <c r="J42" i="1"/>
  <c r="O41" i="1"/>
  <c r="J41" i="1"/>
  <c r="O40" i="1"/>
  <c r="O39" i="1"/>
  <c r="O38" i="1"/>
  <c r="J38" i="1"/>
  <c r="O37" i="1"/>
  <c r="J36" i="1"/>
  <c r="P35" i="1"/>
  <c r="J35" i="1"/>
  <c r="O32" i="1"/>
  <c r="C32" i="1"/>
  <c r="C53" i="1" s="1"/>
  <c r="W30" i="1"/>
  <c r="M30" i="1"/>
  <c r="K30" i="1"/>
  <c r="H29" i="1"/>
  <c r="P28" i="1"/>
  <c r="K28" i="1"/>
  <c r="M26" i="1"/>
  <c r="P25" i="1"/>
  <c r="W23" i="1"/>
  <c r="M23" i="1"/>
  <c r="P22" i="1"/>
  <c r="W21" i="1"/>
  <c r="W18" i="1"/>
  <c r="K17" i="1"/>
  <c r="P16" i="1"/>
  <c r="W15" i="1"/>
  <c r="E15" i="1"/>
  <c r="W13" i="1"/>
  <c r="P13" i="1"/>
  <c r="J8" i="1"/>
  <c r="AK4" i="1"/>
  <c r="J15" i="4" s="1"/>
  <c r="J16" i="4" s="1" a="1"/>
  <c r="J16" i="4" s="1"/>
  <c r="D14" i="4" s="1"/>
  <c r="AJ4" i="1"/>
  <c r="J39" i="1" s="1"/>
  <c r="Q4" i="1"/>
  <c r="P4" i="1"/>
  <c r="P47" i="1" s="1"/>
  <c r="N4" i="1"/>
  <c r="N48" i="1" s="1"/>
  <c r="L4" i="1"/>
  <c r="H4" i="1"/>
  <c r="H28" i="1" s="1"/>
  <c r="F4" i="1"/>
  <c r="F29" i="1" s="1"/>
  <c r="D4" i="1"/>
  <c r="D21" i="1" s="1"/>
  <c r="P7" i="2" l="1"/>
  <c r="U163" i="2"/>
  <c r="P4" i="2"/>
  <c r="T6" i="2"/>
  <c r="T4" i="2"/>
  <c r="O6" i="2"/>
  <c r="W6" i="2"/>
  <c r="O8" i="2"/>
  <c r="S8" i="2"/>
  <c r="W8" i="2"/>
  <c r="E12" i="1"/>
  <c r="U40" i="2"/>
  <c r="S43" i="2"/>
  <c r="O47" i="2"/>
  <c r="O52" i="2"/>
  <c r="S56" i="2"/>
  <c r="AA57" i="2"/>
  <c r="I30" i="1" s="1"/>
  <c r="Q59" i="2"/>
  <c r="W75" i="2"/>
  <c r="T165" i="2"/>
  <c r="U168" i="2"/>
  <c r="U170" i="2"/>
  <c r="O171" i="2"/>
  <c r="U172" i="2"/>
  <c r="V175" i="2"/>
  <c r="V179" i="2"/>
  <c r="R181" i="2"/>
  <c r="V181" i="2"/>
  <c r="G26" i="1"/>
  <c r="E28" i="1"/>
  <c r="G30" i="1"/>
  <c r="P8" i="2"/>
  <c r="Q38" i="2"/>
  <c r="O39" i="2"/>
  <c r="S39" i="2"/>
  <c r="W39" i="2"/>
  <c r="N40" i="2"/>
  <c r="R40" i="2"/>
  <c r="V40" i="2"/>
  <c r="E92" i="2"/>
  <c r="Q92" i="2" s="1"/>
  <c r="U42" i="2"/>
  <c r="P43" i="2"/>
  <c r="T43" i="2"/>
  <c r="E18" i="1"/>
  <c r="G20" i="1"/>
  <c r="Q46" i="2"/>
  <c r="U46" i="2"/>
  <c r="P47" i="2"/>
  <c r="T47" i="2"/>
  <c r="S50" i="2"/>
  <c r="W50" i="2"/>
  <c r="P52" i="2"/>
  <c r="T52" i="2"/>
  <c r="Q55" i="2"/>
  <c r="U55" i="2"/>
  <c r="P56" i="2"/>
  <c r="T56" i="2"/>
  <c r="E29" i="1"/>
  <c r="N59" i="2"/>
  <c r="R59" i="2"/>
  <c r="V59" i="2"/>
  <c r="Q65" i="2"/>
  <c r="U65" i="2"/>
  <c r="U69" i="2"/>
  <c r="O77" i="2"/>
  <c r="S77" i="2"/>
  <c r="W77" i="2"/>
  <c r="U80" i="2"/>
  <c r="O81" i="2"/>
  <c r="S81" i="2"/>
  <c r="W81" i="2"/>
  <c r="Q82" i="2"/>
  <c r="U82" i="2"/>
  <c r="O83" i="2"/>
  <c r="S83" i="2"/>
  <c r="W83" i="2"/>
  <c r="U84" i="2"/>
  <c r="Q162" i="2"/>
  <c r="U162" i="2"/>
  <c r="R163" i="2"/>
  <c r="V163" i="2"/>
  <c r="S166" i="2"/>
  <c r="W166" i="2"/>
  <c r="P167" i="2"/>
  <c r="R168" i="2"/>
  <c r="V168" i="2"/>
  <c r="P169" i="2"/>
  <c r="T169" i="2"/>
  <c r="R170" i="2"/>
  <c r="V170" i="2"/>
  <c r="P171" i="2"/>
  <c r="T171" i="2"/>
  <c r="R172" i="2"/>
  <c r="V172" i="2"/>
  <c r="O177" i="2"/>
  <c r="Q178" i="2"/>
  <c r="U178" i="2"/>
  <c r="O179" i="2"/>
  <c r="S179" i="2"/>
  <c r="W179" i="2"/>
  <c r="Q180" i="2"/>
  <c r="U180" i="2"/>
  <c r="Q184" i="2"/>
  <c r="U184" i="2"/>
  <c r="M12" i="1"/>
  <c r="Q40" i="2"/>
  <c r="O43" i="2"/>
  <c r="W43" i="2"/>
  <c r="W47" i="2"/>
  <c r="M22" i="1" s="1"/>
  <c r="S52" i="2"/>
  <c r="W52" i="2"/>
  <c r="K25" i="1" s="1"/>
  <c r="O56" i="2"/>
  <c r="W56" i="2"/>
  <c r="K29" i="1" s="1"/>
  <c r="P58" i="2"/>
  <c r="U59" i="2"/>
  <c r="S75" i="2"/>
  <c r="D109" i="2"/>
  <c r="P109" i="2" s="1"/>
  <c r="Q168" i="2"/>
  <c r="O169" i="2"/>
  <c r="Q170" i="2"/>
  <c r="S171" i="2"/>
  <c r="Q172" i="2"/>
  <c r="R175" i="2"/>
  <c r="P178" i="2"/>
  <c r="R179" i="2"/>
  <c r="T182" i="2"/>
  <c r="G21" i="1"/>
  <c r="M19" i="1"/>
  <c r="O7" i="2"/>
  <c r="W7" i="2"/>
  <c r="J4" i="1" s="1"/>
  <c r="O37" i="2"/>
  <c r="S37" i="2"/>
  <c r="N38" i="2"/>
  <c r="R38" i="2"/>
  <c r="V38" i="2"/>
  <c r="P39" i="2"/>
  <c r="T39" i="2"/>
  <c r="C90" i="2"/>
  <c r="O90" i="2" s="1"/>
  <c r="O41" i="2"/>
  <c r="S41" i="2"/>
  <c r="W41" i="2"/>
  <c r="N42" i="2"/>
  <c r="R42" i="2"/>
  <c r="V42" i="2"/>
  <c r="Q44" i="2"/>
  <c r="U44" i="2"/>
  <c r="N46" i="2"/>
  <c r="R46" i="2"/>
  <c r="V46" i="2"/>
  <c r="P50" i="2"/>
  <c r="T50" i="2"/>
  <c r="O54" i="2"/>
  <c r="S54" i="2"/>
  <c r="W54" i="2"/>
  <c r="AA54" i="2" s="1"/>
  <c r="I27" i="1" s="1"/>
  <c r="N55" i="2"/>
  <c r="R55" i="2"/>
  <c r="V55" i="2"/>
  <c r="U57" i="2"/>
  <c r="O62" i="2"/>
  <c r="Q63" i="2"/>
  <c r="R65" i="2"/>
  <c r="Q71" i="2"/>
  <c r="U71" i="2"/>
  <c r="I100" i="2"/>
  <c r="U100" i="2" s="1"/>
  <c r="T77" i="2"/>
  <c r="Q77" i="2"/>
  <c r="Q78" i="2"/>
  <c r="N80" i="2"/>
  <c r="R80" i="2"/>
  <c r="V80" i="2"/>
  <c r="H106" i="2"/>
  <c r="T106" i="2" s="1"/>
  <c r="P83" i="2"/>
  <c r="T83" i="2"/>
  <c r="P166" i="2"/>
  <c r="T166" i="2"/>
  <c r="P170" i="2"/>
  <c r="T170" i="2"/>
  <c r="T175" i="2"/>
  <c r="U179" i="2"/>
  <c r="P12" i="1"/>
  <c r="P14" i="1"/>
  <c r="D17" i="1"/>
  <c r="P17" i="1"/>
  <c r="D23" i="1"/>
  <c r="P26" i="1"/>
  <c r="D29" i="1"/>
  <c r="P30" i="1"/>
  <c r="N38" i="1"/>
  <c r="P39" i="1"/>
  <c r="N41" i="1"/>
  <c r="P45" i="1"/>
  <c r="P48" i="1"/>
  <c r="U76" i="1"/>
  <c r="X76" i="1" s="1"/>
  <c r="D25" i="1"/>
  <c r="H12" i="1"/>
  <c r="D15" i="1"/>
  <c r="D16" i="1"/>
  <c r="H17" i="1"/>
  <c r="P20" i="1"/>
  <c r="H23" i="1"/>
  <c r="D27" i="1"/>
  <c r="P29" i="1"/>
  <c r="P32" i="1"/>
  <c r="P36" i="1"/>
  <c r="P43" i="1"/>
  <c r="D28" i="1"/>
  <c r="D32" i="1"/>
  <c r="D12" i="1"/>
  <c r="P18" i="1"/>
  <c r="D20" i="1"/>
  <c r="P21" i="1"/>
  <c r="P24" i="1"/>
  <c r="P38" i="1"/>
  <c r="P40" i="1"/>
  <c r="P46" i="1"/>
  <c r="P49" i="1"/>
  <c r="U72" i="1"/>
  <c r="X72" i="1" s="1"/>
  <c r="K22" i="1"/>
  <c r="M15" i="1"/>
  <c r="AA40" i="2"/>
  <c r="I15" i="1" s="1"/>
  <c r="M16" i="1"/>
  <c r="K16" i="1"/>
  <c r="AA45" i="2"/>
  <c r="I20" i="1" s="1"/>
  <c r="K20" i="1"/>
  <c r="I19" i="1"/>
  <c r="W5" i="2"/>
  <c r="P6" i="2"/>
  <c r="S7" i="2"/>
  <c r="T8" i="2"/>
  <c r="O4" i="2"/>
  <c r="S6" i="2"/>
  <c r="T7" i="2"/>
  <c r="N39" i="2"/>
  <c r="AA43" i="2"/>
  <c r="I18" i="1" s="1"/>
  <c r="S5" i="2"/>
  <c r="E16" i="1"/>
  <c r="V43" i="2"/>
  <c r="F89" i="2"/>
  <c r="R89" i="2" s="1"/>
  <c r="B97" i="2"/>
  <c r="N97" i="2" s="1"/>
  <c r="E99" i="2"/>
  <c r="Q99" i="2" s="1"/>
  <c r="N4" i="2"/>
  <c r="R4" i="2"/>
  <c r="V4" i="2"/>
  <c r="Q7" i="2"/>
  <c r="U7" i="2"/>
  <c r="G14" i="1"/>
  <c r="O40" i="2"/>
  <c r="Q42" i="2"/>
  <c r="G17" i="1"/>
  <c r="I99" i="2"/>
  <c r="U99" i="2" s="1"/>
  <c r="Q74" i="2"/>
  <c r="C75" i="2"/>
  <c r="B101" i="2"/>
  <c r="N101" i="2" s="1"/>
  <c r="E105" i="2"/>
  <c r="Q105" i="2" s="1"/>
  <c r="Q80" i="2"/>
  <c r="G107" i="2"/>
  <c r="S107" i="2" s="1"/>
  <c r="K107" i="2"/>
  <c r="W107" i="2" s="1"/>
  <c r="P84" i="2"/>
  <c r="E88" i="2"/>
  <c r="Q88" i="2" s="1"/>
  <c r="B93" i="2"/>
  <c r="N93" i="2" s="1"/>
  <c r="I105" i="2"/>
  <c r="U105" i="2" s="1"/>
  <c r="F100" i="2"/>
  <c r="R100" i="2" s="1"/>
  <c r="B102" i="2"/>
  <c r="N102" i="2" s="1"/>
  <c r="F102" i="2"/>
  <c r="R102" i="2" s="1"/>
  <c r="J102" i="2"/>
  <c r="V102" i="2" s="1"/>
  <c r="R79" i="2"/>
  <c r="B106" i="2"/>
  <c r="N106" i="2" s="1"/>
  <c r="F106" i="2"/>
  <c r="R106" i="2" s="1"/>
  <c r="J106" i="2"/>
  <c r="V106" i="2" s="1"/>
  <c r="P82" i="2"/>
  <c r="P59" i="2"/>
  <c r="H109" i="2"/>
  <c r="T109" i="2" s="1"/>
  <c r="R162" i="2"/>
  <c r="V162" i="2"/>
  <c r="S162" i="2"/>
  <c r="O163" i="2"/>
  <c r="S163" i="2"/>
  <c r="W163" i="2"/>
  <c r="R164" i="2"/>
  <c r="V164" i="2"/>
  <c r="Q166" i="2"/>
  <c r="U166" i="2"/>
  <c r="O168" i="2"/>
  <c r="W168" i="2"/>
  <c r="O173" i="2"/>
  <c r="O181" i="2"/>
  <c r="S181" i="2"/>
  <c r="W181" i="2"/>
  <c r="P182" i="2"/>
  <c r="I28" i="1"/>
  <c r="I89" i="2"/>
  <c r="U89" i="2" s="1"/>
  <c r="B99" i="2"/>
  <c r="N99" i="2" s="1"/>
  <c r="J99" i="2"/>
  <c r="V99" i="2" s="1"/>
  <c r="R74" i="2"/>
  <c r="K94" i="2"/>
  <c r="W94" i="2" s="1"/>
  <c r="E106" i="2"/>
  <c r="Q106" i="2" s="1"/>
  <c r="S165" i="2"/>
  <c r="W165" i="2"/>
  <c r="V169" i="2"/>
  <c r="O170" i="2"/>
  <c r="Q171" i="2"/>
  <c r="Q175" i="2"/>
  <c r="U175" i="2"/>
  <c r="V177" i="2"/>
  <c r="Q179" i="2"/>
  <c r="T179" i="2"/>
  <c r="P180" i="2"/>
  <c r="T180" i="2"/>
  <c r="Q183" i="2"/>
  <c r="E23" i="1"/>
  <c r="G25" i="1"/>
  <c r="E26" i="1"/>
  <c r="E27" i="1"/>
  <c r="R64" i="2"/>
  <c r="N72" i="2"/>
  <c r="U74" i="2"/>
  <c r="E100" i="2"/>
  <c r="Q100" i="2" s="1"/>
  <c r="U75" i="2"/>
  <c r="N76" i="2"/>
  <c r="I104" i="2"/>
  <c r="U104" i="2" s="1"/>
  <c r="T81" i="2"/>
  <c r="S82" i="2"/>
  <c r="H102" i="2"/>
  <c r="T102" i="2" s="1"/>
  <c r="H108" i="2"/>
  <c r="T108" i="2" s="1"/>
  <c r="D87" i="2"/>
  <c r="P87" i="2" s="1"/>
  <c r="H87" i="2"/>
  <c r="T87" i="2" s="1"/>
  <c r="R63" i="2"/>
  <c r="F90" i="2"/>
  <c r="R90" i="2" s="1"/>
  <c r="D91" i="2"/>
  <c r="P91" i="2" s="1"/>
  <c r="H91" i="2"/>
  <c r="T91" i="2" s="1"/>
  <c r="F94" i="2"/>
  <c r="R94" i="2" s="1"/>
  <c r="D95" i="2"/>
  <c r="P95" i="2" s="1"/>
  <c r="H95" i="2"/>
  <c r="T95" i="2" s="1"/>
  <c r="R71" i="2"/>
  <c r="H99" i="2"/>
  <c r="T99" i="2" s="1"/>
  <c r="Q163" i="2"/>
  <c r="P164" i="2"/>
  <c r="T164" i="2"/>
  <c r="P165" i="2"/>
  <c r="O183" i="2"/>
  <c r="G23" i="1"/>
  <c r="Q54" i="2"/>
  <c r="AA59" i="2"/>
  <c r="I4" i="1" s="1"/>
  <c r="I32" i="1" s="1"/>
  <c r="U64" i="2"/>
  <c r="F95" i="2"/>
  <c r="R95" i="2" s="1"/>
  <c r="R70" i="2"/>
  <c r="N74" i="2"/>
  <c r="V74" i="2"/>
  <c r="V75" i="2"/>
  <c r="U79" i="2"/>
  <c r="I106" i="2"/>
  <c r="U106" i="2" s="1"/>
  <c r="W82" i="2"/>
  <c r="E108" i="2"/>
  <c r="Q108" i="2" s="1"/>
  <c r="G90" i="2"/>
  <c r="S90" i="2" s="1"/>
  <c r="E89" i="2"/>
  <c r="Q89" i="2" s="1"/>
  <c r="K90" i="2"/>
  <c r="W90" i="2" s="1"/>
  <c r="R169" i="2"/>
  <c r="S170" i="2"/>
  <c r="R177" i="2"/>
  <c r="S178" i="2"/>
  <c r="M29" i="1"/>
  <c r="L31" i="1"/>
  <c r="L30" i="1"/>
  <c r="L26" i="1"/>
  <c r="L22" i="1"/>
  <c r="L18" i="1"/>
  <c r="L14" i="1"/>
  <c r="Q47" i="1"/>
  <c r="Q42" i="1"/>
  <c r="Q41" i="1"/>
  <c r="Q37" i="1"/>
  <c r="Q31" i="1"/>
  <c r="Q61" i="1"/>
  <c r="Q46" i="1"/>
  <c r="Q40" i="1"/>
  <c r="Q36" i="1"/>
  <c r="Q35" i="1"/>
  <c r="Q32" i="1"/>
  <c r="Q30" i="1"/>
  <c r="Q26" i="1"/>
  <c r="Q22" i="1"/>
  <c r="Q18" i="1"/>
  <c r="Q14" i="1"/>
  <c r="F14" i="1"/>
  <c r="Q20" i="1"/>
  <c r="C65" i="1"/>
  <c r="N8" i="2"/>
  <c r="R8" i="2"/>
  <c r="AA58" i="2"/>
  <c r="I31" i="1" s="1"/>
  <c r="K31" i="1"/>
  <c r="O66" i="2"/>
  <c r="C91" i="2"/>
  <c r="O91" i="2" s="1"/>
  <c r="K91" i="2"/>
  <c r="W91" i="2" s="1"/>
  <c r="W66" i="2"/>
  <c r="D92" i="2"/>
  <c r="P92" i="2" s="1"/>
  <c r="P67" i="2"/>
  <c r="W71" i="2"/>
  <c r="K96" i="2"/>
  <c r="W96" i="2" s="1"/>
  <c r="H13" i="1"/>
  <c r="F15" i="1"/>
  <c r="L15" i="1"/>
  <c r="L20" i="1"/>
  <c r="Q21" i="1"/>
  <c r="H24" i="1"/>
  <c r="F25" i="1"/>
  <c r="Q25" i="1"/>
  <c r="L32" i="1"/>
  <c r="Q39" i="1"/>
  <c r="U81" i="1" a="1"/>
  <c r="U81" i="1" s="1"/>
  <c r="X69" i="1" a="1"/>
  <c r="X69" i="1" s="1"/>
  <c r="Z69" i="1" s="1"/>
  <c r="Q6" i="2"/>
  <c r="N7" i="2"/>
  <c r="V7" i="2"/>
  <c r="AA52" i="2"/>
  <c r="I25" i="1" s="1"/>
  <c r="M25" i="1"/>
  <c r="C95" i="2"/>
  <c r="O95" i="2" s="1"/>
  <c r="O70" i="2"/>
  <c r="K95" i="2"/>
  <c r="W95" i="2" s="1"/>
  <c r="W70" i="2"/>
  <c r="D96" i="2"/>
  <c r="P96" i="2" s="1"/>
  <c r="P71" i="2"/>
  <c r="F107" i="2"/>
  <c r="R107" i="2" s="1"/>
  <c r="R82" i="2"/>
  <c r="I108" i="2"/>
  <c r="U108" i="2" s="1"/>
  <c r="U83" i="2"/>
  <c r="F96" i="2"/>
  <c r="R96" i="2" s="1"/>
  <c r="D30" i="1"/>
  <c r="D26" i="1"/>
  <c r="D22" i="1"/>
  <c r="D18" i="1"/>
  <c r="D14" i="1"/>
  <c r="N60" i="1"/>
  <c r="U60" i="1" s="1"/>
  <c r="N46" i="1"/>
  <c r="N45" i="1"/>
  <c r="N40" i="1"/>
  <c r="N49" i="1"/>
  <c r="N44" i="1"/>
  <c r="N39" i="1"/>
  <c r="N8" i="1"/>
  <c r="K12" i="1"/>
  <c r="Q12" i="1"/>
  <c r="D13" i="1"/>
  <c r="H15" i="1"/>
  <c r="L16" i="1"/>
  <c r="F17" i="1"/>
  <c r="Q17" i="1"/>
  <c r="D19" i="1"/>
  <c r="H20" i="1"/>
  <c r="M20" i="1"/>
  <c r="L21" i="1"/>
  <c r="F22" i="1"/>
  <c r="Q23" i="1"/>
  <c r="D24" i="1"/>
  <c r="L25" i="1"/>
  <c r="F26" i="1"/>
  <c r="M28" i="1"/>
  <c r="Q29" i="1"/>
  <c r="D31" i="1"/>
  <c r="N35" i="1"/>
  <c r="N36" i="1"/>
  <c r="N37" i="1"/>
  <c r="N42" i="1"/>
  <c r="Q43" i="1"/>
  <c r="Q49" i="1"/>
  <c r="Y57" i="1"/>
  <c r="N62" i="1"/>
  <c r="X79" i="1" a="1"/>
  <c r="X79" i="1" s="1"/>
  <c r="Q5" i="2"/>
  <c r="U5" i="2"/>
  <c r="N6" i="2"/>
  <c r="R6" i="2"/>
  <c r="V6" i="2"/>
  <c r="E13" i="1"/>
  <c r="K15" i="1"/>
  <c r="G15" i="1"/>
  <c r="E17" i="1"/>
  <c r="K19" i="1"/>
  <c r="G19" i="1"/>
  <c r="E21" i="1"/>
  <c r="I87" i="2"/>
  <c r="U87" i="2" s="1"/>
  <c r="U37" i="2"/>
  <c r="C50" i="2"/>
  <c r="O50" i="2" s="1"/>
  <c r="O48" i="2"/>
  <c r="B87" i="2"/>
  <c r="N87" i="2" s="1"/>
  <c r="F87" i="2"/>
  <c r="R87" i="2" s="1"/>
  <c r="G88" i="2"/>
  <c r="S88" i="2" s="1"/>
  <c r="S63" i="2"/>
  <c r="W63" i="2"/>
  <c r="K88" i="2"/>
  <c r="W88" i="2" s="1"/>
  <c r="D100" i="2"/>
  <c r="P100" i="2" s="1"/>
  <c r="P75" i="2"/>
  <c r="H100" i="2"/>
  <c r="T100" i="2" s="1"/>
  <c r="T75" i="2"/>
  <c r="C87" i="2"/>
  <c r="O87" i="2" s="1"/>
  <c r="I91" i="2"/>
  <c r="U91" i="2" s="1"/>
  <c r="J92" i="2"/>
  <c r="V92" i="2" s="1"/>
  <c r="G95" i="2"/>
  <c r="S95" i="2" s="1"/>
  <c r="B88" i="2"/>
  <c r="N88" i="2" s="1"/>
  <c r="J88" i="2"/>
  <c r="V88" i="2" s="1"/>
  <c r="D89" i="2"/>
  <c r="P89" i="2" s="1"/>
  <c r="H89" i="2"/>
  <c r="T89" i="2" s="1"/>
  <c r="N65" i="2"/>
  <c r="B90" i="2"/>
  <c r="N90" i="2" s="1"/>
  <c r="J90" i="2"/>
  <c r="V90" i="2" s="1"/>
  <c r="V65" i="2"/>
  <c r="B92" i="2"/>
  <c r="N92" i="2" s="1"/>
  <c r="F92" i="2"/>
  <c r="R92" i="2" s="1"/>
  <c r="R67" i="2"/>
  <c r="D93" i="2"/>
  <c r="P93" i="2" s="1"/>
  <c r="H93" i="2"/>
  <c r="T93" i="2" s="1"/>
  <c r="B94" i="2"/>
  <c r="N94" i="2" s="1"/>
  <c r="N69" i="2"/>
  <c r="J94" i="2"/>
  <c r="V94" i="2" s="1"/>
  <c r="V69" i="2"/>
  <c r="B96" i="2"/>
  <c r="N96" i="2" s="1"/>
  <c r="J96" i="2"/>
  <c r="V96" i="2" s="1"/>
  <c r="D97" i="2"/>
  <c r="P97" i="2" s="1"/>
  <c r="H97" i="2"/>
  <c r="T97" i="2" s="1"/>
  <c r="B98" i="2"/>
  <c r="N73" i="2"/>
  <c r="D99" i="2"/>
  <c r="P99" i="2" s="1"/>
  <c r="P49" i="2"/>
  <c r="B125" i="2"/>
  <c r="N75" i="2" s="1"/>
  <c r="F32" i="1"/>
  <c r="F28" i="1"/>
  <c r="F24" i="1"/>
  <c r="F20" i="1"/>
  <c r="F16" i="1"/>
  <c r="F12" i="1"/>
  <c r="L13" i="1"/>
  <c r="Q15" i="1"/>
  <c r="F19" i="1"/>
  <c r="L19" i="1"/>
  <c r="L24" i="1"/>
  <c r="L27" i="1"/>
  <c r="Q28" i="1"/>
  <c r="F31" i="1"/>
  <c r="Q44" i="1"/>
  <c r="Q45" i="1"/>
  <c r="Q48" i="1"/>
  <c r="V8" i="2"/>
  <c r="E91" i="2"/>
  <c r="Q91" i="2" s="1"/>
  <c r="Q41" i="2"/>
  <c r="AA49" i="2"/>
  <c r="I23" i="1" s="1"/>
  <c r="K23" i="1"/>
  <c r="G91" i="2"/>
  <c r="S91" i="2" s="1"/>
  <c r="S66" i="2"/>
  <c r="H92" i="2"/>
  <c r="T92" i="2" s="1"/>
  <c r="T67" i="2"/>
  <c r="G96" i="2"/>
  <c r="S96" i="2" s="1"/>
  <c r="S71" i="2"/>
  <c r="C96" i="2"/>
  <c r="O96" i="2" s="1"/>
  <c r="D103" i="2"/>
  <c r="P103" i="2" s="1"/>
  <c r="H31" i="1"/>
  <c r="H30" i="1"/>
  <c r="H26" i="1"/>
  <c r="H22" i="1"/>
  <c r="H18" i="1"/>
  <c r="H14" i="1"/>
  <c r="AB4" i="1"/>
  <c r="Q8" i="1"/>
  <c r="Q16" i="1"/>
  <c r="H19" i="1"/>
  <c r="F21" i="1"/>
  <c r="H27" i="1"/>
  <c r="L28" i="1"/>
  <c r="U6" i="2"/>
  <c r="R7" i="2"/>
  <c r="AA38" i="2"/>
  <c r="I13" i="1" s="1"/>
  <c r="M13" i="1"/>
  <c r="AA46" i="2"/>
  <c r="I21" i="1" s="1"/>
  <c r="M21" i="1"/>
  <c r="N48" i="2"/>
  <c r="B50" i="2"/>
  <c r="E90" i="2"/>
  <c r="Q90" i="2" s="1"/>
  <c r="H96" i="2"/>
  <c r="T96" i="2" s="1"/>
  <c r="T71" i="2"/>
  <c r="B107" i="2"/>
  <c r="N107" i="2" s="1"/>
  <c r="N82" i="2"/>
  <c r="J107" i="2"/>
  <c r="V107" i="2" s="1"/>
  <c r="V82" i="2"/>
  <c r="Q83" i="2"/>
  <c r="T168" i="2"/>
  <c r="S168" i="2"/>
  <c r="K4" i="1"/>
  <c r="K32" i="1" s="1"/>
  <c r="G4" i="1"/>
  <c r="G32" i="1" s="1"/>
  <c r="L12" i="1"/>
  <c r="F13" i="1"/>
  <c r="K13" i="1"/>
  <c r="Q13" i="1"/>
  <c r="H16" i="1"/>
  <c r="L17" i="1"/>
  <c r="F18" i="1"/>
  <c r="Q19" i="1"/>
  <c r="H21" i="1"/>
  <c r="F23" i="1"/>
  <c r="L23" i="1"/>
  <c r="Q24" i="1"/>
  <c r="H25" i="1"/>
  <c r="F27" i="1"/>
  <c r="Q27" i="1"/>
  <c r="L29" i="1"/>
  <c r="F30" i="1"/>
  <c r="H32" i="1"/>
  <c r="Q38" i="1"/>
  <c r="N43" i="1"/>
  <c r="N47" i="1"/>
  <c r="N61" i="1"/>
  <c r="Q62" i="1"/>
  <c r="X68" i="1"/>
  <c r="Q4" i="2"/>
  <c r="U4" i="2"/>
  <c r="N5" i="2"/>
  <c r="R5" i="2"/>
  <c r="V5" i="2"/>
  <c r="Q8" i="2"/>
  <c r="U8" i="2"/>
  <c r="J87" i="2"/>
  <c r="V87" i="2" s="1"/>
  <c r="V37" i="2"/>
  <c r="AA41" i="2"/>
  <c r="I16" i="1" s="1"/>
  <c r="AA42" i="2"/>
  <c r="I17" i="1" s="1"/>
  <c r="M17" i="1"/>
  <c r="B95" i="2"/>
  <c r="N95" i="2" s="1"/>
  <c r="N45" i="2"/>
  <c r="AA53" i="2"/>
  <c r="I26" i="1" s="1"/>
  <c r="G87" i="2"/>
  <c r="S87" i="2" s="1"/>
  <c r="S62" i="2"/>
  <c r="K87" i="2"/>
  <c r="W87" i="2" s="1"/>
  <c r="W62" i="2"/>
  <c r="D88" i="2"/>
  <c r="P88" i="2" s="1"/>
  <c r="P63" i="2"/>
  <c r="H88" i="2"/>
  <c r="T88" i="2" s="1"/>
  <c r="T63" i="2"/>
  <c r="B91" i="2"/>
  <c r="N91" i="2" s="1"/>
  <c r="F91" i="2"/>
  <c r="R91" i="2" s="1"/>
  <c r="G92" i="2"/>
  <c r="S92" i="2" s="1"/>
  <c r="S67" i="2"/>
  <c r="C99" i="2"/>
  <c r="O99" i="2" s="1"/>
  <c r="O74" i="2"/>
  <c r="G99" i="2"/>
  <c r="S99" i="2" s="1"/>
  <c r="S74" i="2"/>
  <c r="K99" i="2"/>
  <c r="W99" i="2" s="1"/>
  <c r="W74" i="2"/>
  <c r="C103" i="2"/>
  <c r="O103" i="2" s="1"/>
  <c r="O78" i="2"/>
  <c r="G103" i="2"/>
  <c r="S103" i="2" s="1"/>
  <c r="S78" i="2"/>
  <c r="K103" i="2"/>
  <c r="W103" i="2" s="1"/>
  <c r="W78" i="2"/>
  <c r="D104" i="2"/>
  <c r="P104" i="2" s="1"/>
  <c r="P79" i="2"/>
  <c r="T79" i="2"/>
  <c r="H104" i="2"/>
  <c r="T104" i="2" s="1"/>
  <c r="E109" i="2"/>
  <c r="Q109" i="2" s="1"/>
  <c r="Q84" i="2"/>
  <c r="E87" i="2"/>
  <c r="Q87" i="2" s="1"/>
  <c r="F88" i="2"/>
  <c r="R88" i="2" s="1"/>
  <c r="G89" i="2"/>
  <c r="S89" i="2" s="1"/>
  <c r="I90" i="2"/>
  <c r="U90" i="2" s="1"/>
  <c r="J91" i="2"/>
  <c r="V91" i="2" s="1"/>
  <c r="K92" i="2"/>
  <c r="W92" i="2" s="1"/>
  <c r="J95" i="2"/>
  <c r="V95" i="2" s="1"/>
  <c r="C88" i="2"/>
  <c r="O88" i="2" s="1"/>
  <c r="C92" i="2"/>
  <c r="O92" i="2" s="1"/>
  <c r="P15" i="1"/>
  <c r="P19" i="1"/>
  <c r="P23" i="1"/>
  <c r="P27" i="1"/>
  <c r="P31" i="1"/>
  <c r="P37" i="1"/>
  <c r="P41" i="1"/>
  <c r="P42" i="1"/>
  <c r="V52" i="2"/>
  <c r="P57" i="2"/>
  <c r="T57" i="2"/>
  <c r="P62" i="2"/>
  <c r="T62" i="2"/>
  <c r="I88" i="2"/>
  <c r="U88" i="2" s="1"/>
  <c r="J89" i="2"/>
  <c r="V89" i="2" s="1"/>
  <c r="P66" i="2"/>
  <c r="T66" i="2"/>
  <c r="I92" i="2"/>
  <c r="U92" i="2" s="1"/>
  <c r="F93" i="2"/>
  <c r="R93" i="2" s="1"/>
  <c r="G94" i="2"/>
  <c r="S94" i="2" s="1"/>
  <c r="S69" i="2"/>
  <c r="P70" i="2"/>
  <c r="T70" i="2"/>
  <c r="F97" i="2"/>
  <c r="R97" i="2" s="1"/>
  <c r="P74" i="2"/>
  <c r="T74" i="2"/>
  <c r="R75" i="2"/>
  <c r="C101" i="2"/>
  <c r="O101" i="2" s="1"/>
  <c r="O76" i="2"/>
  <c r="D102" i="2"/>
  <c r="P102" i="2" s="1"/>
  <c r="P77" i="2"/>
  <c r="N77" i="2"/>
  <c r="V77" i="2"/>
  <c r="E103" i="2"/>
  <c r="Q103" i="2" s="1"/>
  <c r="C105" i="2"/>
  <c r="O105" i="2" s="1"/>
  <c r="O80" i="2"/>
  <c r="G105" i="2"/>
  <c r="S105" i="2" s="1"/>
  <c r="S80" i="2"/>
  <c r="K105" i="2"/>
  <c r="W105" i="2" s="1"/>
  <c r="W80" i="2"/>
  <c r="D106" i="2"/>
  <c r="P106" i="2" s="1"/>
  <c r="P81" i="2"/>
  <c r="C107" i="2"/>
  <c r="O107" i="2" s="1"/>
  <c r="O82" i="2"/>
  <c r="N83" i="2"/>
  <c r="R83" i="2"/>
  <c r="V83" i="2"/>
  <c r="K89" i="2"/>
  <c r="W89" i="2" s="1"/>
  <c r="G93" i="2"/>
  <c r="S93" i="2" s="1"/>
  <c r="C94" i="2"/>
  <c r="O94" i="2" s="1"/>
  <c r="G97" i="2"/>
  <c r="S97" i="2" s="1"/>
  <c r="C98" i="2"/>
  <c r="I103" i="2"/>
  <c r="U103" i="2" s="1"/>
  <c r="I107" i="2"/>
  <c r="U107" i="2" s="1"/>
  <c r="P168" i="2"/>
  <c r="V47" i="2"/>
  <c r="Q57" i="2"/>
  <c r="E107" i="2"/>
  <c r="Q107" i="2" s="1"/>
  <c r="C89" i="2"/>
  <c r="O89" i="2" s="1"/>
  <c r="O64" i="2"/>
  <c r="D90" i="2"/>
  <c r="P90" i="2" s="1"/>
  <c r="P65" i="2"/>
  <c r="H90" i="2"/>
  <c r="T90" i="2" s="1"/>
  <c r="T65" i="2"/>
  <c r="C93" i="2"/>
  <c r="O93" i="2" s="1"/>
  <c r="O68" i="2"/>
  <c r="K93" i="2"/>
  <c r="W93" i="2" s="1"/>
  <c r="W68" i="2"/>
  <c r="D94" i="2"/>
  <c r="P94" i="2" s="1"/>
  <c r="P69" i="2"/>
  <c r="H94" i="2"/>
  <c r="T94" i="2" s="1"/>
  <c r="T69" i="2"/>
  <c r="C97" i="2"/>
  <c r="O97" i="2" s="1"/>
  <c r="O72" i="2"/>
  <c r="K97" i="2"/>
  <c r="W97" i="2" s="1"/>
  <c r="W72" i="2"/>
  <c r="O75" i="2"/>
  <c r="I102" i="2"/>
  <c r="U102" i="2" s="1"/>
  <c r="D105" i="2"/>
  <c r="P105" i="2" s="1"/>
  <c r="H103" i="2"/>
  <c r="T103" i="2" s="1"/>
  <c r="B104" i="2"/>
  <c r="N104" i="2" s="1"/>
  <c r="F104" i="2"/>
  <c r="R104" i="2" s="1"/>
  <c r="J104" i="2"/>
  <c r="V104" i="2" s="1"/>
  <c r="H105" i="2"/>
  <c r="T105" i="2" s="1"/>
  <c r="H107" i="2"/>
  <c r="T107" i="2" s="1"/>
  <c r="T82" i="2"/>
  <c r="B108" i="2"/>
  <c r="N108" i="2" s="1"/>
  <c r="F108" i="2"/>
  <c r="R108" i="2" s="1"/>
  <c r="J108" i="2"/>
  <c r="V108" i="2" s="1"/>
  <c r="D10" i="4"/>
  <c r="E94" i="2"/>
  <c r="Q94" i="2" s="1"/>
  <c r="I94" i="2"/>
  <c r="U94" i="2" s="1"/>
  <c r="E96" i="2"/>
  <c r="Q96" i="2" s="1"/>
  <c r="I96" i="2"/>
  <c r="U96" i="2" s="1"/>
  <c r="U81" i="2"/>
  <c r="B109" i="2"/>
  <c r="N109" i="2" s="1"/>
  <c r="N84" i="2"/>
  <c r="F109" i="2"/>
  <c r="R109" i="2" s="1"/>
  <c r="R84" i="2"/>
  <c r="J109" i="2"/>
  <c r="V109" i="2" s="1"/>
  <c r="V84" i="2"/>
  <c r="E93" i="2"/>
  <c r="Q93" i="2" s="1"/>
  <c r="I93" i="2"/>
  <c r="U93" i="2" s="1"/>
  <c r="E95" i="2"/>
  <c r="Q95" i="2" s="1"/>
  <c r="I95" i="2"/>
  <c r="U95" i="2" s="1"/>
  <c r="E97" i="2"/>
  <c r="Q97" i="2" s="1"/>
  <c r="I97" i="2"/>
  <c r="U97" i="2" s="1"/>
  <c r="G100" i="2"/>
  <c r="S100" i="2" s="1"/>
  <c r="K100" i="2"/>
  <c r="W100" i="2" s="1"/>
  <c r="C102" i="2"/>
  <c r="O102" i="2" s="1"/>
  <c r="G102" i="2"/>
  <c r="S102" i="2" s="1"/>
  <c r="K102" i="2"/>
  <c r="W102" i="2" s="1"/>
  <c r="C104" i="2"/>
  <c r="O104" i="2" s="1"/>
  <c r="G104" i="2"/>
  <c r="S104" i="2" s="1"/>
  <c r="K104" i="2"/>
  <c r="W104" i="2" s="1"/>
  <c r="C106" i="2"/>
  <c r="O106" i="2" s="1"/>
  <c r="G106" i="2"/>
  <c r="S106" i="2" s="1"/>
  <c r="K106" i="2"/>
  <c r="W106" i="2" s="1"/>
  <c r="C108" i="2"/>
  <c r="O108" i="2" s="1"/>
  <c r="G108" i="2"/>
  <c r="S108" i="2" s="1"/>
  <c r="K108" i="2"/>
  <c r="W108" i="2" s="1"/>
  <c r="I109" i="2"/>
  <c r="U109" i="2" s="1"/>
  <c r="R167" i="2"/>
  <c r="W167" i="2"/>
  <c r="V167" i="2"/>
  <c r="Q174" i="2"/>
  <c r="U174" i="2"/>
  <c r="P181" i="2"/>
  <c r="Q181" i="2"/>
  <c r="T181" i="2"/>
  <c r="U181" i="2"/>
  <c r="B103" i="2"/>
  <c r="N103" i="2" s="1"/>
  <c r="F103" i="2"/>
  <c r="R103" i="2" s="1"/>
  <c r="J103" i="2"/>
  <c r="V103" i="2" s="1"/>
  <c r="B105" i="2"/>
  <c r="N105" i="2" s="1"/>
  <c r="F105" i="2"/>
  <c r="R105" i="2" s="1"/>
  <c r="J105" i="2"/>
  <c r="V105" i="2" s="1"/>
  <c r="N81" i="2"/>
  <c r="R81" i="2"/>
  <c r="V81" i="2"/>
  <c r="C109" i="2"/>
  <c r="O109" i="2" s="1"/>
  <c r="G109" i="2"/>
  <c r="S109" i="2" s="1"/>
  <c r="K109" i="2"/>
  <c r="W109" i="2" s="1"/>
  <c r="S84" i="2"/>
  <c r="O164" i="2"/>
  <c r="S164" i="2"/>
  <c r="W164" i="2"/>
  <c r="Q165" i="2"/>
  <c r="U165" i="2"/>
  <c r="R166" i="2"/>
  <c r="V166" i="2"/>
  <c r="O167" i="2"/>
  <c r="S167" i="2"/>
  <c r="P172" i="2"/>
  <c r="O172" i="2"/>
  <c r="T172" i="2"/>
  <c r="S172" i="2"/>
  <c r="W172" i="2"/>
  <c r="R174" i="2"/>
  <c r="V174" i="2"/>
  <c r="O175" i="2"/>
  <c r="S175" i="2"/>
  <c r="W175" i="2"/>
  <c r="O180" i="2"/>
  <c r="S180" i="2"/>
  <c r="W180" i="2"/>
  <c r="W171" i="2"/>
  <c r="V171" i="2"/>
  <c r="P184" i="2"/>
  <c r="O184" i="2"/>
  <c r="T184" i="2"/>
  <c r="S184" i="2"/>
  <c r="W184" i="2"/>
  <c r="C12" i="4"/>
  <c r="M24" i="4"/>
  <c r="O24" i="4" s="1"/>
  <c r="M32" i="4"/>
  <c r="O32" i="4" s="1"/>
  <c r="W20" i="1" s="1"/>
  <c r="M38" i="4"/>
  <c r="O38" i="4" s="1"/>
  <c r="W26" i="1" s="1"/>
  <c r="R182" i="2"/>
  <c r="Q182" i="2"/>
  <c r="V182" i="2"/>
  <c r="U182" i="2"/>
  <c r="S183" i="2"/>
  <c r="R183" i="2"/>
  <c r="W183" i="2"/>
  <c r="V183" i="2"/>
  <c r="M26" i="4"/>
  <c r="O26" i="4" s="1"/>
  <c r="W14" i="1" s="1"/>
  <c r="O31" i="4"/>
  <c r="W19" i="1" s="1"/>
  <c r="M34" i="4"/>
  <c r="O34" i="4" s="1"/>
  <c r="W22" i="1" s="1"/>
  <c r="O37" i="4"/>
  <c r="W25" i="1" s="1"/>
  <c r="M40" i="4"/>
  <c r="O40" i="4" s="1"/>
  <c r="W28" i="1" s="1"/>
  <c r="D9" i="4"/>
  <c r="D12" i="4" s="1"/>
  <c r="E14" i="4" s="1"/>
  <c r="G14" i="4" s="1"/>
  <c r="AA37" i="2" l="1"/>
  <c r="I12" i="1" s="1"/>
  <c r="N50" i="2"/>
  <c r="AA56" i="2"/>
  <c r="I29" i="1" s="1"/>
  <c r="AA47" i="2"/>
  <c r="I22" i="1" s="1"/>
  <c r="K27" i="1"/>
  <c r="K18" i="1"/>
  <c r="M18" i="1"/>
  <c r="AA39" i="2"/>
  <c r="I14" i="1" s="1"/>
  <c r="M14" i="1"/>
  <c r="K14" i="1"/>
  <c r="U14" i="1" s="1"/>
  <c r="X14" i="1" s="1"/>
  <c r="Z14" i="1" s="1"/>
  <c r="M27" i="1"/>
  <c r="AA50" i="2"/>
  <c r="I24" i="1" s="1"/>
  <c r="M24" i="1"/>
  <c r="K24" i="1"/>
  <c r="E15" i="4"/>
  <c r="C87" i="1"/>
  <c r="AG4" i="1"/>
  <c r="N98" i="2"/>
  <c r="B100" i="2"/>
  <c r="N100" i="2" s="1"/>
  <c r="X81" i="1"/>
  <c r="Y81" i="1" s="1"/>
  <c r="Z79" i="1"/>
  <c r="Z81" i="1" s="1"/>
  <c r="AF4" i="1"/>
  <c r="C83" i="1"/>
  <c r="D13" i="4"/>
  <c r="J32" i="1"/>
  <c r="J28" i="1"/>
  <c r="U28" i="1" s="1"/>
  <c r="X28" i="1" s="1"/>
  <c r="Z28" i="1" s="1"/>
  <c r="J24" i="1"/>
  <c r="J20" i="1"/>
  <c r="U20" i="1" s="1"/>
  <c r="X20" i="1" s="1"/>
  <c r="Z20" i="1" s="1"/>
  <c r="J16" i="1"/>
  <c r="U16" i="1" s="1"/>
  <c r="X16" i="1" s="1"/>
  <c r="Z16" i="1" s="1"/>
  <c r="J12" i="1"/>
  <c r="J31" i="1"/>
  <c r="U31" i="1" s="1"/>
  <c r="X31" i="1" s="1"/>
  <c r="Z31" i="1" s="1"/>
  <c r="J27" i="1"/>
  <c r="U27" i="1" s="1"/>
  <c r="X27" i="1" s="1"/>
  <c r="Z27" i="1" s="1"/>
  <c r="J19" i="1"/>
  <c r="U19" i="1" s="1"/>
  <c r="X19" i="1" s="1"/>
  <c r="Z19" i="1" s="1"/>
  <c r="J14" i="1"/>
  <c r="J29" i="1"/>
  <c r="U29" i="1" s="1"/>
  <c r="X29" i="1" s="1"/>
  <c r="Z29" i="1" s="1"/>
  <c r="J17" i="1"/>
  <c r="U17" i="1" s="1"/>
  <c r="X17" i="1" s="1"/>
  <c r="Z17" i="1" s="1"/>
  <c r="J25" i="1"/>
  <c r="U25" i="1" s="1"/>
  <c r="X25" i="1" s="1"/>
  <c r="Z25" i="1" s="1"/>
  <c r="J15" i="1"/>
  <c r="U15" i="1" s="1"/>
  <c r="X15" i="1" s="1"/>
  <c r="Z15" i="1" s="1"/>
  <c r="J30" i="1"/>
  <c r="U30" i="1" s="1"/>
  <c r="X30" i="1" s="1"/>
  <c r="Z30" i="1" s="1"/>
  <c r="J23" i="1"/>
  <c r="U23" i="1" s="1"/>
  <c r="X23" i="1" s="1"/>
  <c r="Z23" i="1" s="1"/>
  <c r="J18" i="1"/>
  <c r="U18" i="1" s="1"/>
  <c r="X18" i="1" s="1"/>
  <c r="Z18" i="1" s="1"/>
  <c r="J13" i="1"/>
  <c r="J26" i="1"/>
  <c r="U26" i="1" s="1"/>
  <c r="X26" i="1" s="1"/>
  <c r="Z26" i="1" s="1"/>
  <c r="J22" i="1"/>
  <c r="U22" i="1" s="1"/>
  <c r="X22" i="1" s="1"/>
  <c r="Z22" i="1" s="1"/>
  <c r="J21" i="1"/>
  <c r="U21" i="1" s="1"/>
  <c r="X21" i="1" s="1"/>
  <c r="Z21" i="1" s="1"/>
  <c r="U13" i="1"/>
  <c r="X13" i="1" s="1"/>
  <c r="Z13" i="1" s="1"/>
  <c r="E9" i="4"/>
  <c r="E12" i="4" s="1"/>
  <c r="E11" i="4"/>
  <c r="E10" i="4"/>
  <c r="K61" i="1"/>
  <c r="K48" i="1"/>
  <c r="K43" i="1"/>
  <c r="K42" i="1"/>
  <c r="K38" i="1"/>
  <c r="K62" i="1"/>
  <c r="K47" i="1"/>
  <c r="K41" i="1"/>
  <c r="K37" i="1"/>
  <c r="K36" i="1"/>
  <c r="K35" i="1"/>
  <c r="K40" i="1"/>
  <c r="K8" i="1"/>
  <c r="K39" i="1"/>
  <c r="M4" i="1"/>
  <c r="K44" i="1"/>
  <c r="K49" i="1"/>
  <c r="K46" i="1"/>
  <c r="K45" i="1"/>
  <c r="O44" i="4"/>
  <c r="C88" i="1" s="1"/>
  <c r="W12" i="1"/>
  <c r="C100" i="2"/>
  <c r="O100" i="2" s="1"/>
  <c r="O98" i="2"/>
  <c r="X60" i="1"/>
  <c r="U24" i="1" l="1"/>
  <c r="X24" i="1" s="1"/>
  <c r="Z24" i="1" s="1"/>
  <c r="U12" i="1"/>
  <c r="X12" i="1" s="1"/>
  <c r="Z12" i="1" s="1"/>
  <c r="J49" i="1"/>
  <c r="J44" i="1"/>
  <c r="J45" i="1"/>
  <c r="J37" i="1"/>
  <c r="J40" i="1"/>
  <c r="J46" i="1"/>
  <c r="W50" i="1" a="1"/>
  <c r="W50" i="1" s="1"/>
  <c r="C94" i="1"/>
  <c r="W32" i="1" a="1"/>
  <c r="W32" i="1" s="1"/>
  <c r="M62" i="1"/>
  <c r="U62" i="1" s="1"/>
  <c r="X62" i="1" s="1"/>
  <c r="M47" i="1"/>
  <c r="U47" i="1" s="1"/>
  <c r="X47" i="1" s="1"/>
  <c r="M41" i="1"/>
  <c r="U41" i="1" s="1"/>
  <c r="X41" i="1" s="1"/>
  <c r="M37" i="1"/>
  <c r="M36" i="1"/>
  <c r="M35" i="1"/>
  <c r="U35" i="1" s="1"/>
  <c r="M46" i="1"/>
  <c r="M45" i="1"/>
  <c r="M40" i="1"/>
  <c r="M32" i="1"/>
  <c r="U32" i="1" s="1"/>
  <c r="M49" i="1"/>
  <c r="M38" i="1"/>
  <c r="U38" i="1" s="1"/>
  <c r="X38" i="1" s="1"/>
  <c r="M42" i="1"/>
  <c r="M48" i="1"/>
  <c r="U48" i="1" s="1"/>
  <c r="X48" i="1" s="1"/>
  <c r="M61" i="1"/>
  <c r="M43" i="1"/>
  <c r="U43" i="1" s="1"/>
  <c r="X43" i="1" s="1"/>
  <c r="M39" i="1"/>
  <c r="U39" i="1" s="1"/>
  <c r="X39" i="1" s="1"/>
  <c r="M44" i="1"/>
  <c r="M8" i="1"/>
  <c r="U8" i="1" s="1"/>
  <c r="U36" i="1"/>
  <c r="X36" i="1" s="1"/>
  <c r="U42" i="1"/>
  <c r="X42" i="1" s="1"/>
  <c r="U61" i="1"/>
  <c r="X32" i="1" l="1"/>
  <c r="U37" i="1"/>
  <c r="X37" i="1" s="1"/>
  <c r="U45" i="1"/>
  <c r="X45" i="1" s="1"/>
  <c r="U46" i="1"/>
  <c r="X46" i="1" s="1"/>
  <c r="X35" i="1"/>
  <c r="W53" i="1"/>
  <c r="W65" i="1" s="1"/>
  <c r="X8" i="1"/>
  <c r="Y8" i="1" s="1"/>
  <c r="Z8" i="1" s="1"/>
  <c r="U44" i="1"/>
  <c r="X44" i="1" s="1"/>
  <c r="Y32" i="1"/>
  <c r="X33" i="1"/>
  <c r="X34" i="1" s="1"/>
  <c r="Z34" i="1" s="1"/>
  <c r="Z32" i="1"/>
  <c r="Z33" i="1" s="1"/>
  <c r="U40" i="1"/>
  <c r="X40" i="1" s="1"/>
  <c r="U49" i="1"/>
  <c r="X49" i="1" s="1"/>
  <c r="X61" i="1"/>
  <c r="X63" i="1" a="1"/>
  <c r="X63" i="1" s="1"/>
  <c r="U63" i="1" a="1"/>
  <c r="U63" i="1" s="1"/>
  <c r="X50" i="1" l="1"/>
  <c r="Z50" i="1"/>
  <c r="Z51" i="1" s="1"/>
  <c r="Y50" i="1"/>
  <c r="X51" i="1"/>
  <c r="X52" i="1" s="1"/>
  <c r="Z52" i="1" s="1"/>
  <c r="X53" i="1"/>
  <c r="Z63" i="1"/>
  <c r="Y63" i="1"/>
  <c r="U53" i="1" a="1"/>
  <c r="U53" i="1" s="1"/>
  <c r="U65" i="1" s="1"/>
  <c r="U83" i="1" s="1"/>
  <c r="U50" i="1" a="1"/>
  <c r="U50" i="1" s="1"/>
  <c r="X54" i="1" l="1"/>
  <c r="Z53" i="1"/>
  <c r="Z54" i="1" s="1"/>
  <c r="Y53" i="1"/>
  <c r="Y65" i="1" s="1"/>
  <c r="Y83" i="1" s="1"/>
  <c r="X65" i="1"/>
  <c r="X66" i="1" s="1"/>
  <c r="X67" i="1" s="1"/>
  <c r="Z67" i="1" s="1"/>
  <c r="Z65" i="1" l="1"/>
  <c r="Z66" i="1" l="1"/>
  <c r="B1" i="1"/>
  <c r="Z83" i="1"/>
  <c r="B5" i="1" l="1"/>
  <c r="B3" i="1"/>
  <c r="B2" i="1"/>
</calcChain>
</file>

<file path=xl/comments1.xml><?xml version="1.0" encoding="utf-8"?>
<comments xmlns="http://schemas.openxmlformats.org/spreadsheetml/2006/main">
  <authors>
    <author>Bill Rosenberg</author>
    <author>WJ Rosenberg</author>
    <author>Bill</author>
  </authors>
  <commentList>
    <comment ref="C1" authorId="0" shapeId="0">
      <text>
        <r>
          <rPr>
            <b/>
            <sz val="9"/>
            <color indexed="81"/>
            <rFont val="Tahoma"/>
            <family val="2"/>
          </rPr>
          <t>Bill Rosenberg:</t>
        </r>
        <r>
          <rPr>
            <sz val="9"/>
            <color indexed="81"/>
            <rFont val="Tahoma"/>
            <family val="2"/>
          </rPr>
          <t xml:space="preserve">
0 to include non-demographic growth and productivity increase
1 to exclude them</t>
        </r>
      </text>
    </comment>
    <comment ref="E4" authorId="1" shapeId="0">
      <text>
        <r>
          <rPr>
            <sz val="8"/>
            <color indexed="81"/>
            <rFont val="Tahoma"/>
            <family val="2"/>
          </rPr>
          <t xml:space="preserve">
Estimated from DHB consolidated accounts. </t>
        </r>
      </text>
    </comment>
    <comment ref="G4" authorId="1" shapeId="0">
      <text>
        <r>
          <rPr>
            <sz val="8"/>
            <color indexed="81"/>
            <rFont val="Tahoma"/>
            <family val="2"/>
          </rPr>
          <t xml:space="preserve">
Estimated from DHB consolidated accounts. </t>
        </r>
      </text>
    </comment>
    <comment ref="I4" authorId="1" shapeId="0">
      <text>
        <r>
          <rPr>
            <b/>
            <sz val="8"/>
            <color indexed="81"/>
            <rFont val="Tahoma"/>
            <family val="2"/>
          </rPr>
          <t>WJ Rosenberg:</t>
        </r>
        <r>
          <rPr>
            <sz val="8"/>
            <color indexed="81"/>
            <rFont val="Tahoma"/>
            <family val="2"/>
          </rPr>
          <t xml:space="preserve">
From DHB consolidated accounts. </t>
        </r>
      </text>
    </comment>
    <comment ref="L4" authorId="1" shapeId="0">
      <text>
        <r>
          <rPr>
            <b/>
            <sz val="8"/>
            <color indexed="81"/>
            <rFont val="Tahoma"/>
            <family val="2"/>
          </rPr>
          <t>WJ Rosenberg:</t>
        </r>
        <r>
          <rPr>
            <sz val="8"/>
            <color indexed="81"/>
            <rFont val="Tahoma"/>
            <family val="2"/>
          </rPr>
          <t xml:space="preserve">
Like health sector, assume CPI.</t>
        </r>
      </text>
    </comment>
    <comment ref="N4" authorId="1" shapeId="0">
      <text>
        <r>
          <rPr>
            <b/>
            <sz val="8"/>
            <color indexed="81"/>
            <rFont val="Tahoma"/>
            <family val="2"/>
          </rPr>
          <t>WJ Rosenberg:</t>
        </r>
        <r>
          <rPr>
            <sz val="8"/>
            <color indexed="81"/>
            <rFont val="Tahoma"/>
            <family val="2"/>
          </rPr>
          <t xml:space="preserve">
Assume CPI</t>
        </r>
      </text>
    </comment>
    <comment ref="P4" authorId="1" shapeId="0">
      <text>
        <r>
          <rPr>
            <b/>
            <sz val="8"/>
            <color indexed="81"/>
            <rFont val="Tahoma"/>
            <family val="2"/>
          </rPr>
          <t>WJ Rosenberg:</t>
        </r>
        <r>
          <rPr>
            <sz val="8"/>
            <color indexed="81"/>
            <rFont val="Tahoma"/>
            <family val="2"/>
          </rPr>
          <t xml:space="preserve">
This was originally modelled on Treasury:Health Projections and Policy Options: Background paper for the 2013 statement on the long term fiscal position”, July 2013, p.20
A different approach is used in the 2016 long term fiscal position.
In place of this, non-demographic growth is accounted for by new initiatives announced by the Govt. </t>
        </r>
      </text>
    </comment>
    <comment ref="Q4" authorId="1" shapeId="0">
      <text>
        <r>
          <rPr>
            <b/>
            <sz val="8"/>
            <color indexed="81"/>
            <rFont val="Tahoma"/>
            <family val="2"/>
          </rPr>
          <t>WJ Rosenberg:</t>
        </r>
        <r>
          <rPr>
            <sz val="8"/>
            <color indexed="81"/>
            <rFont val="Tahoma"/>
            <family val="2"/>
          </rPr>
          <t xml:space="preserve">
This was originally modelled on Treasury:Health Projections and Policy Options: Background paper for the 2013 statement on the long term fiscal position”, where it assumed 0.3% long term labour productivity growth in Health.
A different approach is used in the 2016 long term fiscal position.
This is not used here.  </t>
        </r>
      </text>
    </comment>
    <comment ref="S4" authorId="1" shapeId="0">
      <text>
        <r>
          <rPr>
            <b/>
            <sz val="8"/>
            <color indexed="81"/>
            <rFont val="Tahoma"/>
            <family val="2"/>
          </rPr>
          <t>WJ Rosenberg:</t>
        </r>
        <r>
          <rPr>
            <sz val="8"/>
            <color indexed="81"/>
            <rFont val="Tahoma"/>
            <family val="2"/>
          </rPr>
          <t xml:space="preserve">
Capital Goods price index in year to December 2016 rose 3.4%  </t>
        </r>
      </text>
    </comment>
    <comment ref="AB4" authorId="1" shapeId="0">
      <text>
        <r>
          <rPr>
            <sz val="8"/>
            <color indexed="81"/>
            <rFont val="Tahoma"/>
            <family val="2"/>
          </rPr>
          <t xml:space="preserve">
From Consolidated DHB Provider Arm Accounts for nine months to March 2017. Assume it also applies to funded organisations and Ministry.</t>
        </r>
      </text>
    </comment>
    <comment ref="AC4" authorId="1" shapeId="0">
      <text>
        <r>
          <rPr>
            <sz val="8"/>
            <color indexed="81"/>
            <rFont val="Tahoma"/>
            <family val="2"/>
          </rPr>
          <t xml:space="preserve">Treasury HYEFU 2016 forecasts 2.0 % in year to June 2018.
RBNZ forecast for year to June 2018 is 1.4% (May 2017 MPS)
March 2017 inflation at 2.2% surprised forecasters on the up side: Treasury (HYEFU 2016) and the RBNZ (MPS February 2017) had both been forecasting 1.5% . 
NZIER consensus forecast (March 2017) mean is 1.7% for the year to to March 2018.  </t>
        </r>
      </text>
    </comment>
    <comment ref="AD4" authorId="1" shapeId="0">
      <text>
        <r>
          <rPr>
            <sz val="8"/>
            <color indexed="81"/>
            <rFont val="Tahoma"/>
            <family val="2"/>
          </rPr>
          <t>Ministry of Health projection for 2017/18</t>
        </r>
      </text>
    </comment>
    <comment ref="AE4" authorId="1" shapeId="0">
      <text>
        <r>
          <rPr>
            <sz val="8"/>
            <color indexed="81"/>
            <rFont val="Tahoma"/>
            <family val="2"/>
          </rPr>
          <t xml:space="preserve">Ministry of Health projections for 0-19 year olds for 2017/18
</t>
        </r>
      </text>
    </comment>
    <comment ref="AH4" authorId="2" shapeId="0">
      <text>
        <r>
          <rPr>
            <sz val="9"/>
            <color indexed="81"/>
            <rFont val="Tahoma"/>
            <family val="2"/>
          </rPr>
          <t xml:space="preserve">
Treasury HYEFU 2016 forecasts average ordinary time hourly wage to rise 2.2% in year to June 2018.
RBNZ, year to June 2018,  All Sal &amp; Wage Rates Private Sector LCI forecast made May 2017 is 2.0%
NZIER March 2017 Consensus forecasts are for private sector average hourly earnings to rise 2.3% in year to March 2018</t>
        </r>
      </text>
    </comment>
    <comment ref="AI4" authorId="2" shapeId="0">
      <text>
        <r>
          <rPr>
            <sz val="9"/>
            <color indexed="81"/>
            <rFont val="Tahoma"/>
            <family val="2"/>
          </rPr>
          <t xml:space="preserve">
Approximate from DHB consolidated accounts for 2016/17 (audited)
</t>
        </r>
      </text>
    </comment>
    <comment ref="AJ4" authorId="0" shapeId="0">
      <text>
        <r>
          <rPr>
            <b/>
            <sz val="9"/>
            <color indexed="81"/>
            <rFont val="Tahoma"/>
            <family val="2"/>
          </rPr>
          <t>Bill Rosenberg:</t>
        </r>
        <r>
          <rPr>
            <sz val="9"/>
            <color indexed="81"/>
            <rFont val="Tahoma"/>
            <family val="2"/>
          </rPr>
          <t xml:space="preserve">
Minimum wage rose 3.3% as from 1 April 2017</t>
        </r>
      </text>
    </comment>
  </commentList>
</comments>
</file>

<file path=xl/comments2.xml><?xml version="1.0" encoding="utf-8"?>
<comments xmlns="http://schemas.openxmlformats.org/spreadsheetml/2006/main">
  <authors>
    <author>Bill</author>
  </authors>
  <commentList>
    <comment ref="K4" authorId="0" shapeId="0">
      <text>
        <r>
          <rPr>
            <b/>
            <sz val="9"/>
            <color indexed="81"/>
            <rFont val="Tahoma"/>
            <family val="2"/>
          </rPr>
          <t>Bill:</t>
        </r>
        <r>
          <rPr>
            <sz val="9"/>
            <color indexed="81"/>
            <rFont val="Tahoma"/>
            <family val="2"/>
          </rPr>
          <t xml:space="preserve">
Budget for year (from March consolidated accounts)</t>
        </r>
      </text>
    </comment>
    <comment ref="K11" authorId="0" shapeId="0">
      <text>
        <r>
          <rPr>
            <b/>
            <sz val="9"/>
            <color indexed="81"/>
            <rFont val="Tahoma"/>
            <family val="2"/>
          </rPr>
          <t>Bill:</t>
        </r>
        <r>
          <rPr>
            <sz val="9"/>
            <color indexed="81"/>
            <rFont val="Tahoma"/>
            <family val="2"/>
          </rPr>
          <t xml:space="preserve">
Year to March 2017 from March 2017 consolidated accounts</t>
        </r>
      </text>
    </comment>
    <comment ref="B50" authorId="0" shapeId="0">
      <text>
        <r>
          <rPr>
            <b/>
            <sz val="9"/>
            <color indexed="81"/>
            <rFont val="Tahoma"/>
            <family val="2"/>
          </rPr>
          <t>Bill:</t>
        </r>
        <r>
          <rPr>
            <sz val="9"/>
            <color indexed="81"/>
            <rFont val="Tahoma"/>
            <family val="2"/>
          </rPr>
          <t xml:space="preserve">
Calculated from Otago and Southland DHBs</t>
        </r>
      </text>
    </comment>
    <comment ref="C50" authorId="0" shapeId="0">
      <text>
        <r>
          <rPr>
            <b/>
            <sz val="9"/>
            <color indexed="81"/>
            <rFont val="Tahoma"/>
            <family val="2"/>
          </rPr>
          <t>Bill:</t>
        </r>
        <r>
          <rPr>
            <sz val="9"/>
            <color indexed="81"/>
            <rFont val="Tahoma"/>
            <family val="2"/>
          </rPr>
          <t xml:space="preserve">
Calculated from Otago and Southland DHBs</t>
        </r>
      </text>
    </comment>
    <comment ref="B75" authorId="0" shapeId="0">
      <text>
        <r>
          <rPr>
            <b/>
            <sz val="9"/>
            <color indexed="81"/>
            <rFont val="Tahoma"/>
            <family val="2"/>
          </rPr>
          <t>Bill:</t>
        </r>
        <r>
          <rPr>
            <sz val="9"/>
            <color indexed="81"/>
            <rFont val="Tahoma"/>
            <family val="2"/>
          </rPr>
          <t xml:space="preserve">
Calculated from Otago and Southland DHBs</t>
        </r>
      </text>
    </comment>
    <comment ref="C75" authorId="0" shapeId="0">
      <text>
        <r>
          <rPr>
            <b/>
            <sz val="9"/>
            <color indexed="81"/>
            <rFont val="Tahoma"/>
            <family val="2"/>
          </rPr>
          <t>Bill:</t>
        </r>
        <r>
          <rPr>
            <sz val="9"/>
            <color indexed="81"/>
            <rFont val="Tahoma"/>
            <family val="2"/>
          </rPr>
          <t xml:space="preserve">
Calculated from Otago and Southland DHBs</t>
        </r>
      </text>
    </comment>
    <comment ref="B100" authorId="0" shapeId="0">
      <text>
        <r>
          <rPr>
            <b/>
            <sz val="9"/>
            <color indexed="81"/>
            <rFont val="Tahoma"/>
            <family val="2"/>
          </rPr>
          <t>Bill:</t>
        </r>
        <r>
          <rPr>
            <sz val="9"/>
            <color indexed="81"/>
            <rFont val="Tahoma"/>
            <family val="2"/>
          </rPr>
          <t xml:space="preserve">
Calculated from Otago and Southland DHBs</t>
        </r>
      </text>
    </comment>
    <comment ref="C100" authorId="0" shapeId="0">
      <text>
        <r>
          <rPr>
            <b/>
            <sz val="9"/>
            <color indexed="81"/>
            <rFont val="Tahoma"/>
            <family val="2"/>
          </rPr>
          <t>Bill:</t>
        </r>
        <r>
          <rPr>
            <sz val="9"/>
            <color indexed="81"/>
            <rFont val="Tahoma"/>
            <family val="2"/>
          </rPr>
          <t xml:space="preserve">
Calculated from Otago and Southland DHBs</t>
        </r>
      </text>
    </comment>
    <comment ref="B125" authorId="0" shapeId="0">
      <text>
        <r>
          <rPr>
            <b/>
            <sz val="9"/>
            <color indexed="81"/>
            <rFont val="Tahoma"/>
            <family val="2"/>
          </rPr>
          <t>Bill:</t>
        </r>
        <r>
          <rPr>
            <sz val="9"/>
            <color indexed="81"/>
            <rFont val="Tahoma"/>
            <family val="2"/>
          </rPr>
          <t xml:space="preserve">
Calculated from Otago and Southland DHBs</t>
        </r>
      </text>
    </comment>
    <comment ref="C125" authorId="0" shapeId="0">
      <text>
        <r>
          <rPr>
            <b/>
            <sz val="9"/>
            <color indexed="81"/>
            <rFont val="Tahoma"/>
            <family val="2"/>
          </rPr>
          <t>Bill:</t>
        </r>
        <r>
          <rPr>
            <sz val="9"/>
            <color indexed="81"/>
            <rFont val="Tahoma"/>
            <family val="2"/>
          </rPr>
          <t xml:space="preserve">
Calculated from Otago and Southland DHBs</t>
        </r>
      </text>
    </comment>
    <comment ref="B150" authorId="0" shapeId="0">
      <text>
        <r>
          <rPr>
            <b/>
            <sz val="9"/>
            <color indexed="81"/>
            <rFont val="Tahoma"/>
            <family val="2"/>
          </rPr>
          <t>Bill:</t>
        </r>
        <r>
          <rPr>
            <sz val="9"/>
            <color indexed="81"/>
            <rFont val="Tahoma"/>
            <family val="2"/>
          </rPr>
          <t xml:space="preserve">
Calculated from Otago and Southland DHBs</t>
        </r>
      </text>
    </comment>
    <comment ref="C150" authorId="0" shapeId="0">
      <text>
        <r>
          <rPr>
            <b/>
            <sz val="9"/>
            <color indexed="81"/>
            <rFont val="Tahoma"/>
            <family val="2"/>
          </rPr>
          <t>Bill:</t>
        </r>
        <r>
          <rPr>
            <sz val="9"/>
            <color indexed="81"/>
            <rFont val="Tahoma"/>
            <family val="2"/>
          </rPr>
          <t xml:space="preserve">
Calculated from Otago and Southland DHBs</t>
        </r>
      </text>
    </comment>
    <comment ref="B175" authorId="0" shapeId="0">
      <text>
        <r>
          <rPr>
            <b/>
            <sz val="9"/>
            <color indexed="81"/>
            <rFont val="Tahoma"/>
            <family val="2"/>
          </rPr>
          <t>Bill:</t>
        </r>
        <r>
          <rPr>
            <sz val="9"/>
            <color indexed="81"/>
            <rFont val="Tahoma"/>
            <family val="2"/>
          </rPr>
          <t xml:space="preserve">
Calculated from Otago and Southland DHBs</t>
        </r>
      </text>
    </comment>
    <comment ref="C175" authorId="0" shapeId="0">
      <text>
        <r>
          <rPr>
            <b/>
            <sz val="9"/>
            <color indexed="81"/>
            <rFont val="Tahoma"/>
            <family val="2"/>
          </rPr>
          <t>Bill:</t>
        </r>
        <r>
          <rPr>
            <sz val="9"/>
            <color indexed="81"/>
            <rFont val="Tahoma"/>
            <family val="2"/>
          </rPr>
          <t xml:space="preserve">
Calculated from Otago and Southland DHBs</t>
        </r>
      </text>
    </comment>
    <comment ref="O175" authorId="0" shapeId="0">
      <text>
        <r>
          <rPr>
            <b/>
            <sz val="9"/>
            <color indexed="81"/>
            <rFont val="Tahoma"/>
            <family val="2"/>
          </rPr>
          <t>Bill:</t>
        </r>
        <r>
          <rPr>
            <sz val="9"/>
            <color indexed="81"/>
            <rFont val="Tahoma"/>
            <family val="2"/>
          </rPr>
          <t xml:space="preserve">
Calculated from Otago and Southland DHBs</t>
        </r>
      </text>
    </comment>
    <comment ref="P175" authorId="0" shapeId="0">
      <text>
        <r>
          <rPr>
            <b/>
            <sz val="9"/>
            <color indexed="81"/>
            <rFont val="Tahoma"/>
            <family val="2"/>
          </rPr>
          <t>Bill:</t>
        </r>
        <r>
          <rPr>
            <sz val="9"/>
            <color indexed="81"/>
            <rFont val="Tahoma"/>
            <family val="2"/>
          </rPr>
          <t xml:space="preserve">
Calculated from Otago and Southland DHBs</t>
        </r>
      </text>
    </comment>
  </commentList>
</comments>
</file>

<file path=xl/sharedStrings.xml><?xml version="1.0" encoding="utf-8"?>
<sst xmlns="http://schemas.openxmlformats.org/spreadsheetml/2006/main" count="540" uniqueCount="228">
  <si>
    <t>Summary: additional operational funding required</t>
  </si>
  <si>
    <t>For 2017/18</t>
  </si>
  <si>
    <t>2015/16</t>
  </si>
  <si>
    <t>Medical salary increases</t>
  </si>
  <si>
    <t>Medical proportion of DHB expenditure</t>
  </si>
  <si>
    <t>Nursing salary increases</t>
  </si>
  <si>
    <t>Nursing proportion of DHB expenditure</t>
  </si>
  <si>
    <t>Other Wage  increases - DHB Provider</t>
  </si>
  <si>
    <t>Other Wage proportion of DHB provider expenditure</t>
  </si>
  <si>
    <t>Wage  increases in DHB funded services</t>
  </si>
  <si>
    <t>Other Wage proportion of DHB funded activities expenditure</t>
  </si>
  <si>
    <t>Non-labour health services cost increases</t>
  </si>
  <si>
    <t>Non-labour proportion</t>
  </si>
  <si>
    <t>Non-labour general cost increases</t>
  </si>
  <si>
    <t>Population growth, including ageing effect</t>
  </si>
  <si>
    <t>Non-demographic growth</t>
  </si>
  <si>
    <t>Productivity growth</t>
  </si>
  <si>
    <t>Capital Goods proportion</t>
  </si>
  <si>
    <t>Capital Goods price increase</t>
  </si>
  <si>
    <t>Total increases</t>
  </si>
  <si>
    <t>Additional costs identified for 2017/18</t>
  </si>
  <si>
    <t>Required</t>
  </si>
  <si>
    <t>Totals</t>
  </si>
  <si>
    <t>Increase Required</t>
  </si>
  <si>
    <t>Labour  proportion of expenditure</t>
  </si>
  <si>
    <t>CPI</t>
  </si>
  <si>
    <t>Increase in births</t>
  </si>
  <si>
    <t>Child popn growth (0 - 19 yrs old)</t>
  </si>
  <si>
    <t>DHB provider wage increase</t>
  </si>
  <si>
    <t>Total wage increase</t>
  </si>
  <si>
    <t>Forecast All Industries Average Wage increase</t>
  </si>
  <si>
    <t>Provider proportion of DHB expenditure</t>
  </si>
  <si>
    <t>Wage increases in high MinimumWage sectors</t>
  </si>
  <si>
    <t>Other wages increases</t>
  </si>
  <si>
    <t>Without 'new policy initiatives' and 'savings'</t>
  </si>
  <si>
    <t>$000</t>
  </si>
  <si>
    <t>%</t>
  </si>
  <si>
    <t>For sensitivity testing</t>
  </si>
  <si>
    <t>Parameters:</t>
  </si>
  <si>
    <t>Department operating appropriations</t>
  </si>
  <si>
    <t>Non-Departmental Output Expenses</t>
  </si>
  <si>
    <t>DHBs</t>
  </si>
  <si>
    <t>Auckland</t>
  </si>
  <si>
    <t>Bay of Plenty</t>
  </si>
  <si>
    <t>Canterbury</t>
  </si>
  <si>
    <t>Capital and Coast</t>
  </si>
  <si>
    <t>Counties-Manukau</t>
  </si>
  <si>
    <t>Hawkes Bay</t>
  </si>
  <si>
    <t>Hutt</t>
  </si>
  <si>
    <t>Lakes</t>
  </si>
  <si>
    <t>MidCentral</t>
  </si>
  <si>
    <t>Nelson-Marlborough</t>
  </si>
  <si>
    <t>Northland</t>
  </si>
  <si>
    <t>South Canterbury</t>
  </si>
  <si>
    <t>Southern</t>
  </si>
  <si>
    <t>Tairawhiti</t>
  </si>
  <si>
    <t>Taranaki</t>
  </si>
  <si>
    <t>Waikato</t>
  </si>
  <si>
    <t>Wairarapa</t>
  </si>
  <si>
    <t>Waitemata</t>
  </si>
  <si>
    <t>West Coast</t>
  </si>
  <si>
    <t>Whanganui</t>
  </si>
  <si>
    <t>Total DHBs</t>
  </si>
  <si>
    <t>Without additional costs</t>
  </si>
  <si>
    <t>Increase</t>
  </si>
  <si>
    <t>Health Workforce Training and Development</t>
  </si>
  <si>
    <t>Monitoring and Protecting Health and Disability Consumer Interests</t>
  </si>
  <si>
    <t>National Child Health Services</t>
  </si>
  <si>
    <t>National Contracted Services - Other</t>
  </si>
  <si>
    <t>National Disability Support Services</t>
  </si>
  <si>
    <t>National Elective Services</t>
  </si>
  <si>
    <t>National Emergency Services</t>
  </si>
  <si>
    <t xml:space="preserve">National Health Information Systems </t>
  </si>
  <si>
    <t>National Māori Health Services</t>
  </si>
  <si>
    <t>National Maternity Services</t>
  </si>
  <si>
    <t>National Mental Health Services</t>
  </si>
  <si>
    <t>National Personal Health Services</t>
  </si>
  <si>
    <t>Primary Health Care Strategy</t>
  </si>
  <si>
    <t>Problem Gambling Services</t>
  </si>
  <si>
    <t>Public Health Service Purchasing</t>
  </si>
  <si>
    <t>Total non-DHB</t>
  </si>
  <si>
    <t>Total Non-Departmental Output Expenses</t>
  </si>
  <si>
    <t>Departmental Other Expenses</t>
  </si>
  <si>
    <t>Total Departmental Other Expenses</t>
  </si>
  <si>
    <t>Non-Departmental Other Expenses</t>
  </si>
  <si>
    <t>International Health Organisations</t>
  </si>
  <si>
    <t>Legal Expenses</t>
  </si>
  <si>
    <t>Provider Development</t>
  </si>
  <si>
    <t>Total Non-Departmental Other Expenses</t>
  </si>
  <si>
    <t>Total Operational Expenses</t>
  </si>
  <si>
    <t>Departmental Capital Expenditure</t>
  </si>
  <si>
    <t>or</t>
  </si>
  <si>
    <t>Ministry of Health - Capital Expenditure PLA</t>
  </si>
  <si>
    <t>Total Departmental Capital Expenditure</t>
  </si>
  <si>
    <t>Non-Departmental Capital Expenditure</t>
  </si>
  <si>
    <t>Equity for Capital Projects for DHBs and Health Sector Crown Agencies</t>
  </si>
  <si>
    <t>Health Sector Projects</t>
  </si>
  <si>
    <t>Refinance of Crown Loans</t>
  </si>
  <si>
    <t>Refinance of DHB Private Debt</t>
  </si>
  <si>
    <t>Residential Care Loans</t>
  </si>
  <si>
    <t>Deficit Support for DHBs</t>
  </si>
  <si>
    <t>Loans for Capital Projects</t>
  </si>
  <si>
    <t>Total Non-Departmental Capital Expenditure</t>
  </si>
  <si>
    <t>Total Capital Expenditure</t>
  </si>
  <si>
    <t>Total Annual and Permanent Appropriations</t>
  </si>
  <si>
    <t>Appropriations</t>
  </si>
  <si>
    <t>$000 - 2017/18</t>
  </si>
  <si>
    <t>$000 - four years</t>
  </si>
  <si>
    <t>Equal Pay settlement</t>
  </si>
  <si>
    <t>Unclear</t>
  </si>
  <si>
    <t xml:space="preserve">"In the first year, the Ministry of Health/District Health Board funding is estimated at $303 million and ACC at $31 million." - Terranova Questions and Answers. </t>
  </si>
  <si>
    <t xml:space="preserve">Less estimate of pay increases that would have occurred </t>
  </si>
  <si>
    <t>Subtract estimate of increase if settlement had not taken place (allowed for in general wage increase calculations)</t>
  </si>
  <si>
    <t>Increased capital charges for DHBs</t>
  </si>
  <si>
    <t>Estimated from DHB monthly accounts for December 2016 to February 2017. The increase is a result of the above restructuring of balance sheets which involved the Crown paying off DHB debt and funding it by equity, on which capital charges are paid. Debt was averaging an interest rate of 4.5% p.a. whereas the capital charge averaged 6.4%. The Crown compensates DHBs for this so it appears as an increase in funding.</t>
  </si>
  <si>
    <t>Quality Initiative in Mental Health</t>
  </si>
  <si>
    <t>"It will be run for the next five years at a cost of around $7.5 million which will be funded from within DHB baselines, with a review after the first three years." - Coleman speech</t>
  </si>
  <si>
    <t>https://www.beehive.govt.nz/speech/social-investment-approach-mental-health</t>
  </si>
  <si>
    <t>Ambulance doubled crewing; air ambulance and ambulance communication services</t>
  </si>
  <si>
    <t>For Double Crewing, "Vote Health has committed $31.2 million,...[remainder from ACC].  Through Vote Health we are also investing $21 million over the next four years which will support a new funding arrangement for emergency air ambulance services and ambulance communications centres”</t>
  </si>
  <si>
    <t>http://beehive.govt.nz/release/budget-2017-double-crewing-road-ambulance</t>
  </si>
  <si>
    <t>Pharmac</t>
  </si>
  <si>
    <t>National</t>
  </si>
  <si>
    <t>Budget 2017 invests an extra $60 million over four years to enable Pharmac to provide more New Zealanders with access to new medicines, Health Minister Jonathan Coleman says… On top of the Government’s extra $20 million next year, a further $11 million will be injected into Pharmac’s annual budget by DHBs.</t>
  </si>
  <si>
    <t>https://www.beehive.govt.nz/release/budget-2017-60-million-more-pharmac</t>
  </si>
  <si>
    <t>Total</t>
  </si>
  <si>
    <t>In Between Travel - regularising workforce</t>
  </si>
  <si>
    <t>Estimated to be between $60 million and $108 million per year in report to Director-General. This part of In between Travel has largely been implemented but not funded</t>
  </si>
  <si>
    <t>Source: DHB consolidated financial reports (provided by Ministry of Health) and monthly financial reports available at</t>
  </si>
  <si>
    <t>http://www.health.govt.nz/new-zealand-health-system/key-health-sector-organisations-and-people/district-health-boards/accountability-and-funding/summary-financial-reports</t>
  </si>
  <si>
    <t>Funder Arm payments to providers ($000)</t>
  </si>
  <si>
    <t>(est)</t>
  </si>
  <si>
    <t>Funder Arm payments to providers proportion of total</t>
  </si>
  <si>
    <t>MoH - Personal Health</t>
  </si>
  <si>
    <t>MoH - Mental Health</t>
  </si>
  <si>
    <t>MoH - Public Health</t>
  </si>
  <si>
    <t>MoH - Disability Support Services</t>
  </si>
  <si>
    <t>MoH - Maori Health</t>
  </si>
  <si>
    <t>Provider and Governance proportion of DHB Expenditure</t>
  </si>
  <si>
    <t>Auckland DHB</t>
  </si>
  <si>
    <t>Bay of Plenty DHB</t>
  </si>
  <si>
    <t>Canterbury DHB</t>
  </si>
  <si>
    <t>Capital &amp; Coast DHB</t>
  </si>
  <si>
    <t>Counties Manukau DHB</t>
  </si>
  <si>
    <t>Hawke's Bay DHB</t>
  </si>
  <si>
    <t>Hutt Valley DHB</t>
  </si>
  <si>
    <t>Lakes DHB</t>
  </si>
  <si>
    <t>MidCentral DHB</t>
  </si>
  <si>
    <t>Nelson Marlborough DHB</t>
  </si>
  <si>
    <t>Northland DHB</t>
  </si>
  <si>
    <t>Otago DHB</t>
  </si>
  <si>
    <t>South Canterbury DHB</t>
  </si>
  <si>
    <t>Southern DHB</t>
  </si>
  <si>
    <t>Southland DHB</t>
  </si>
  <si>
    <t>Tairawhiti DHB</t>
  </si>
  <si>
    <t>Taranaki DHB</t>
  </si>
  <si>
    <t>Waikato DHB</t>
  </si>
  <si>
    <t>Wairarapa DHB</t>
  </si>
  <si>
    <t>Waitemata DHB</t>
  </si>
  <si>
    <t>West Coast DHB</t>
  </si>
  <si>
    <t>Whanganui DHB</t>
  </si>
  <si>
    <t>All DHBs</t>
  </si>
  <si>
    <t>Provider Arm</t>
  </si>
  <si>
    <t>In year to March 2017 made up of</t>
  </si>
  <si>
    <t>Labour ($000)</t>
  </si>
  <si>
    <t>Year to March</t>
  </si>
  <si>
    <t>Labour proportion of Provider expenditure</t>
  </si>
  <si>
    <t>Medical</t>
  </si>
  <si>
    <t>Nursing</t>
  </si>
  <si>
    <t>Other</t>
  </si>
  <si>
    <t>Outsourcing ($000)</t>
  </si>
  <si>
    <t>Outsourcing proportion of Provider expenditure</t>
  </si>
  <si>
    <t>Non-Personnel ($000)</t>
  </si>
  <si>
    <t>Non-Personnel proportion of Provider expenditure</t>
  </si>
  <si>
    <t>Total expenditure ($000)</t>
  </si>
  <si>
    <t>FTES</t>
  </si>
  <si>
    <t>At March 2017</t>
  </si>
  <si>
    <t>Average cost per FTE ($000)</t>
  </si>
  <si>
    <t>Increase in average cost per FTE</t>
  </si>
  <si>
    <t>Equal pay settlement - 2017/18 impact</t>
  </si>
  <si>
    <t>Source: TerraNova Questions and Answers</t>
  </si>
  <si>
    <t>http://beehive.govt.nz/sites/all/files/TerraNova%20Questions%20and%20Answers.pdf</t>
  </si>
  <si>
    <t>MOH/DHBs</t>
  </si>
  <si>
    <t>ACC</t>
  </si>
  <si>
    <t>From private individuals in aged care (est)</t>
  </si>
  <si>
    <t>For the 11,000 people with assets over the threshold, they are required to pay the maximum contribution for their care….It is estimated that it could increase by around up to 6 per cent or an average of $66 per week on 1 July 2017.</t>
  </si>
  <si>
    <t>$2.048 billion settlement over five years will be funded through an increase of $1.856 billion to Vote Health and $192 million to ACC. Est $530m/year in long run</t>
  </si>
  <si>
    <t>From TerraNova Questions and Answers</t>
  </si>
  <si>
    <t xml:space="preserve">Existing pay </t>
  </si>
  <si>
    <t>Workers</t>
  </si>
  <si>
    <t>FTE est</t>
  </si>
  <si>
    <t>Est Income</t>
  </si>
  <si>
    <t>Est split</t>
  </si>
  <si>
    <t>Across the sector there are an estimated 55,000 workers (equal to approximately 29,300 full-time equivalents).</t>
  </si>
  <si>
    <t>Estimated number of workers</t>
  </si>
  <si>
    <t>Average Wage Rate</t>
  </si>
  <si>
    <t>1 July 2017 rates</t>
  </si>
  <si>
    <t xml:space="preserve">Aged Residential care </t>
  </si>
  <si>
    <t>Aged Residential Care</t>
  </si>
  <si>
    <t>From $19.00 to $23.50</t>
  </si>
  <si>
    <t>Home and Community Support Services</t>
  </si>
  <si>
    <t>Community Residential Living</t>
  </si>
  <si>
    <t>Mainly DSS</t>
  </si>
  <si>
    <t>Min Wage increase would be</t>
  </si>
  <si>
    <t>Allow</t>
  </si>
  <si>
    <t>Vote Health</t>
  </si>
  <si>
    <t>Net increase to Vote Health (rounded to nearest $1,000)</t>
  </si>
  <si>
    <t>total</t>
  </si>
  <si>
    <t>DHB Balance sheets</t>
  </si>
  <si>
    <t>One-off restructuring of DHB balance sheets in 2016/17</t>
  </si>
  <si>
    <t>HYEFU showed "other expenses" rose from $27m in 2016 to $313m in 2017, falling back to a forecast $27m in 2018. It notes: 1.  The increase in other expenses in the 2017 forecast year relates to a one off restructuring of District Health Board balance sheets.  These expenses are offset by additional revenue for the New Zealand Debt Management Office (excluded from these tables) and therefore have no impact on OBEGAL.</t>
  </si>
  <si>
    <t>Source: monthly financial reports summarising DHB financial performance for January and February 2017</t>
  </si>
  <si>
    <t>http://www.health.govt.nz/new-zealand-health-system/key-health-sector-organisations-and-people/district-health-boards/accountability-and-funding/summary-financial-reports/dhb-sector-financial-reports-2016-17</t>
  </si>
  <si>
    <t>Cap Charge Rate =</t>
  </si>
  <si>
    <t>Term Loans - Non-current</t>
  </si>
  <si>
    <t>Crown Equity</t>
  </si>
  <si>
    <t>Interest Costs</t>
  </si>
  <si>
    <t>Capital Charge</t>
  </si>
  <si>
    <t>Full year at this equity</t>
  </si>
  <si>
    <t>Calculation of impact of conversion of debt to Crown equity</t>
  </si>
  <si>
    <t>Change</t>
  </si>
  <si>
    <t>Rate</t>
  </si>
  <si>
    <t>Interest</t>
  </si>
  <si>
    <t>Cap Charge</t>
  </si>
  <si>
    <t>Net change*</t>
  </si>
  <si>
    <t>Hawke’s Bay DHB</t>
  </si>
  <si>
    <t>Sector Total</t>
  </si>
  <si>
    <t>* Rounded to nearest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</si>
</sst>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Red]\-&quot;$&quot;#,##0"/>
    <numFmt numFmtId="44" formatCode="_-&quot;$&quot;* #,##0.00_-;\-&quot;$&quot;* #,##0.00_-;_-&quot;$&quot;* &quot;-&quot;??_-;_-@_-"/>
    <numFmt numFmtId="43" formatCode="_-* #,##0.00_-;\-* #,##0.00_-;_-* &quot;-&quot;??_-;_-@_-"/>
    <numFmt numFmtId="164" formatCode="_-&quot;$&quot;* #,##0_-;\-&quot;$&quot;* #,##0_-;_-&quot;$&quot;* &quot;-&quot;??_-;_-@_-"/>
    <numFmt numFmtId="165" formatCode="&quot;as proportion of operating allowance of&quot;\ &quot;$&quot;0.0&quot;b&quot;"/>
    <numFmt numFmtId="166" formatCode="0.0%"/>
    <numFmt numFmtId="167" formatCode="_-* #,##0_-;\-* #,##0_-;_-* &quot;-&quot;??_-;_-@_-"/>
    <numFmt numFmtId="168" formatCode="#,##0.0000"/>
    <numFmt numFmtId="169" formatCode="#,##0;[Red]\(#,##0\)"/>
    <numFmt numFmtId="170" formatCode="#,##0_ ;\-#,##0\ "/>
  </numFmts>
  <fonts count="1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8"/>
      <color theme="1"/>
      <name val="Calibri"/>
      <family val="2"/>
      <scheme val="minor"/>
    </font>
    <font>
      <b/>
      <sz val="11"/>
      <name val="Calibri"/>
      <family val="2"/>
      <scheme val="minor"/>
    </font>
    <font>
      <u/>
      <sz val="11"/>
      <color theme="10"/>
      <name val="Calibri"/>
      <family val="2"/>
    </font>
    <font>
      <b/>
      <sz val="9"/>
      <color indexed="81"/>
      <name val="Tahoma"/>
      <family val="2"/>
    </font>
    <font>
      <sz val="9"/>
      <color indexed="81"/>
      <name val="Tahoma"/>
      <family val="2"/>
    </font>
    <font>
      <sz val="8"/>
      <color indexed="81"/>
      <name val="Tahoma"/>
      <family val="2"/>
    </font>
    <font>
      <b/>
      <sz val="8"/>
      <color indexed="81"/>
      <name val="Tahoma"/>
      <family val="2"/>
    </font>
    <font>
      <sz val="10"/>
      <name val="Arial"/>
      <family val="2"/>
    </font>
    <font>
      <sz val="11"/>
      <color rgb="FF0070C0"/>
      <name val="Calibri"/>
      <family val="2"/>
      <scheme val="minor"/>
    </font>
    <font>
      <sz val="10"/>
      <color theme="1"/>
      <name val="Arial Mäori"/>
      <family val="2"/>
    </font>
    <font>
      <b/>
      <sz val="10"/>
      <name val="Arial"/>
      <family val="2"/>
    </font>
    <font>
      <u/>
      <sz val="11"/>
      <color theme="10"/>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alignment vertical="top"/>
      <protection locked="0"/>
    </xf>
    <xf numFmtId="0" fontId="14" fillId="0" borderId="0"/>
    <xf numFmtId="0" fontId="16" fillId="0" borderId="0" applyNumberFormat="0" applyFill="0" applyBorder="0" applyAlignment="0" applyProtection="0"/>
    <xf numFmtId="0" fontId="12" fillId="0" borderId="0"/>
  </cellStyleXfs>
  <cellXfs count="147">
    <xf numFmtId="0" fontId="0" fillId="0" borderId="0" xfId="0"/>
    <xf numFmtId="0" fontId="4" fillId="0" borderId="0" xfId="0" applyFont="1"/>
    <xf numFmtId="164" fontId="4" fillId="0" borderId="0" xfId="2" applyNumberFormat="1" applyFont="1"/>
    <xf numFmtId="0" fontId="5" fillId="0" borderId="0" xfId="0" applyFont="1" applyBorder="1" applyAlignment="1">
      <alignment horizontal="center"/>
    </xf>
    <xf numFmtId="165" fontId="4" fillId="0" borderId="0" xfId="0" applyNumberFormat="1" applyFont="1" applyAlignment="1">
      <alignment horizontal="left" vertical="top"/>
    </xf>
    <xf numFmtId="166" fontId="4" fillId="0" borderId="0" xfId="3" applyNumberFormat="1" applyFont="1" applyAlignment="1">
      <alignment horizontal="center" vertical="top"/>
    </xf>
    <xf numFmtId="0" fontId="3" fillId="0" borderId="0" xfId="0" applyFont="1"/>
    <xf numFmtId="0" fontId="3" fillId="0" borderId="0" xfId="0" applyFont="1" applyAlignment="1">
      <alignment horizontal="center" wrapText="1"/>
    </xf>
    <xf numFmtId="0" fontId="3" fillId="0" borderId="0" xfId="0" applyFont="1" applyBorder="1" applyAlignment="1">
      <alignment horizontal="center" wrapText="1"/>
    </xf>
    <xf numFmtId="0" fontId="0" fillId="0" borderId="0" xfId="0" applyBorder="1"/>
    <xf numFmtId="0" fontId="3" fillId="0" borderId="0" xfId="0" applyFont="1" applyFill="1" applyBorder="1" applyAlignment="1">
      <alignment horizontal="center" wrapText="1"/>
    </xf>
    <xf numFmtId="49" fontId="3" fillId="0" borderId="1" xfId="0" applyNumberFormat="1" applyFont="1" applyFill="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0" fontId="0" fillId="0" borderId="1" xfId="0" applyBorder="1"/>
    <xf numFmtId="49" fontId="3" fillId="0" borderId="1" xfId="0" applyNumberFormat="1" applyFont="1" applyBorder="1" applyAlignment="1">
      <alignment horizontal="center"/>
    </xf>
    <xf numFmtId="0" fontId="2" fillId="0" borderId="1" xfId="0" applyFont="1" applyBorder="1"/>
    <xf numFmtId="166" fontId="3" fillId="0" borderId="0" xfId="0" applyNumberFormat="1" applyFont="1" applyFill="1" applyBorder="1" applyAlignment="1">
      <alignment horizontal="right"/>
    </xf>
    <xf numFmtId="166" fontId="3" fillId="0" borderId="0" xfId="0" applyNumberFormat="1" applyFont="1" applyFill="1" applyBorder="1" applyAlignment="1">
      <alignment horizontal="center"/>
    </xf>
    <xf numFmtId="166" fontId="3" fillId="0" borderId="2" xfId="0" applyNumberFormat="1" applyFont="1" applyFill="1" applyBorder="1" applyAlignment="1">
      <alignment horizontal="center"/>
    </xf>
    <xf numFmtId="10" fontId="0" fillId="0" borderId="0" xfId="0" applyNumberFormat="1" applyFill="1"/>
    <xf numFmtId="0" fontId="0" fillId="0" borderId="0" xfId="0" applyFill="1"/>
    <xf numFmtId="6" fontId="0" fillId="0" borderId="0" xfId="0" applyNumberFormat="1" applyFill="1"/>
    <xf numFmtId="166" fontId="3" fillId="0" borderId="0" xfId="3" applyNumberFormat="1" applyFont="1" applyFill="1" applyBorder="1" applyAlignment="1">
      <alignment horizontal="center"/>
    </xf>
    <xf numFmtId="164" fontId="0" fillId="0" borderId="0" xfId="0" applyNumberFormat="1" applyFill="1"/>
    <xf numFmtId="49" fontId="3" fillId="0" borderId="0" xfId="0" applyNumberFormat="1" applyFont="1" applyBorder="1" applyAlignment="1">
      <alignment horizontal="center"/>
    </xf>
    <xf numFmtId="166" fontId="4" fillId="0" borderId="0" xfId="0" applyNumberFormat="1" applyFont="1" applyBorder="1" applyAlignment="1">
      <alignment horizontal="left"/>
    </xf>
    <xf numFmtId="166" fontId="4" fillId="0" borderId="0" xfId="0" applyNumberFormat="1" applyFont="1" applyBorder="1" applyAlignment="1">
      <alignment horizontal="right"/>
    </xf>
    <xf numFmtId="166" fontId="3" fillId="0" borderId="0" xfId="0" applyNumberFormat="1" applyFont="1" applyBorder="1" applyAlignment="1">
      <alignment horizontal="center"/>
    </xf>
    <xf numFmtId="10" fontId="3" fillId="0" borderId="0" xfId="0" applyNumberFormat="1" applyFont="1" applyFill="1" applyBorder="1" applyAlignment="1">
      <alignment horizontal="center"/>
    </xf>
    <xf numFmtId="10" fontId="0" fillId="0" borderId="0" xfId="0" applyNumberFormat="1"/>
    <xf numFmtId="0" fontId="0" fillId="0" borderId="0" xfId="0" applyFill="1" applyBorder="1"/>
    <xf numFmtId="3" fontId="3" fillId="0" borderId="0" xfId="0" applyNumberFormat="1" applyFont="1"/>
    <xf numFmtId="166" fontId="0" fillId="0" borderId="0" xfId="0" applyNumberFormat="1"/>
    <xf numFmtId="166" fontId="0" fillId="0" borderId="0" xfId="0" applyNumberFormat="1" applyFont="1"/>
    <xf numFmtId="3" fontId="0" fillId="0" borderId="0" xfId="0" applyNumberFormat="1" applyFont="1"/>
    <xf numFmtId="3" fontId="4" fillId="0" borderId="0" xfId="0" applyNumberFormat="1" applyFont="1" applyAlignment="1">
      <alignment horizontal="left"/>
    </xf>
    <xf numFmtId="3" fontId="0" fillId="0" borderId="0" xfId="0" applyNumberFormat="1"/>
    <xf numFmtId="3" fontId="0" fillId="0" borderId="0" xfId="0" applyNumberFormat="1" applyBorder="1"/>
    <xf numFmtId="0" fontId="0" fillId="0" borderId="0" xfId="0" applyAlignment="1">
      <alignment horizontal="left" indent="1"/>
    </xf>
    <xf numFmtId="3" fontId="0" fillId="0" borderId="0" xfId="0" applyNumberFormat="1" applyFont="1" applyBorder="1"/>
    <xf numFmtId="0" fontId="0" fillId="0" borderId="0" xfId="0" applyAlignment="1">
      <alignment horizontal="left" indent="2"/>
    </xf>
    <xf numFmtId="167" fontId="1" fillId="0" borderId="0" xfId="1" applyNumberFormat="1" applyFont="1" applyBorder="1"/>
    <xf numFmtId="166" fontId="0" fillId="0" borderId="0" xfId="0" applyNumberFormat="1" applyBorder="1"/>
    <xf numFmtId="0" fontId="0" fillId="0" borderId="1" xfId="0" applyBorder="1" applyAlignment="1">
      <alignment horizontal="left" indent="2"/>
    </xf>
    <xf numFmtId="3" fontId="0" fillId="0" borderId="1" xfId="0" applyNumberFormat="1" applyFont="1" applyBorder="1"/>
    <xf numFmtId="166" fontId="0" fillId="0" borderId="1" xfId="0" applyNumberFormat="1" applyBorder="1"/>
    <xf numFmtId="166" fontId="0" fillId="0" borderId="1" xfId="0" applyNumberFormat="1" applyFont="1" applyBorder="1"/>
    <xf numFmtId="3" fontId="0" fillId="0" borderId="1" xfId="0" applyNumberFormat="1" applyFont="1" applyFill="1" applyBorder="1"/>
    <xf numFmtId="3" fontId="0" fillId="0" borderId="0" xfId="0" applyNumberFormat="1" applyFont="1" applyFill="1" applyBorder="1"/>
    <xf numFmtId="0" fontId="3" fillId="0" borderId="0" xfId="0" applyFont="1" applyAlignment="1">
      <alignment horizontal="left" indent="2"/>
    </xf>
    <xf numFmtId="166" fontId="3" fillId="0" borderId="0" xfId="0" applyNumberFormat="1" applyFont="1"/>
    <xf numFmtId="3" fontId="6" fillId="0" borderId="0" xfId="0" applyNumberFormat="1" applyFont="1" applyFill="1"/>
    <xf numFmtId="10" fontId="4" fillId="0" borderId="0" xfId="0" applyNumberFormat="1" applyFont="1" applyAlignment="1">
      <alignment horizontal="center"/>
    </xf>
    <xf numFmtId="3" fontId="4" fillId="0" borderId="0" xfId="0" applyNumberFormat="1" applyFont="1"/>
    <xf numFmtId="10" fontId="1" fillId="0" borderId="0" xfId="3" applyNumberFormat="1" applyFont="1"/>
    <xf numFmtId="10" fontId="4" fillId="0" borderId="0" xfId="0" applyNumberFormat="1" applyFont="1" applyAlignment="1">
      <alignment horizontal="left"/>
    </xf>
    <xf numFmtId="166" fontId="0" fillId="0" borderId="0" xfId="0" applyNumberFormat="1" applyFill="1"/>
    <xf numFmtId="0" fontId="0" fillId="0" borderId="1" xfId="0" applyBorder="1" applyAlignment="1">
      <alignment horizontal="left" indent="1"/>
    </xf>
    <xf numFmtId="0" fontId="3" fillId="0" borderId="0" xfId="0" applyFont="1" applyAlignment="1">
      <alignment horizontal="left" indent="1"/>
    </xf>
    <xf numFmtId="166" fontId="3" fillId="0" borderId="0" xfId="0" applyNumberFormat="1" applyFont="1" applyBorder="1"/>
    <xf numFmtId="10" fontId="4" fillId="0" borderId="0" xfId="0" applyNumberFormat="1" applyFont="1" applyBorder="1" applyAlignment="1">
      <alignment horizontal="center"/>
    </xf>
    <xf numFmtId="3" fontId="4" fillId="0" borderId="0" xfId="0" applyNumberFormat="1" applyFont="1" applyBorder="1"/>
    <xf numFmtId="3" fontId="4" fillId="0" borderId="0" xfId="0" applyNumberFormat="1" applyFont="1" applyBorder="1" applyAlignment="1">
      <alignment horizontal="left"/>
    </xf>
    <xf numFmtId="10" fontId="1" fillId="0" borderId="0" xfId="3" applyNumberFormat="1" applyFont="1" applyBorder="1"/>
    <xf numFmtId="10" fontId="4" fillId="0" borderId="1" xfId="0" applyNumberFormat="1" applyFont="1" applyBorder="1" applyAlignment="1">
      <alignment horizontal="left"/>
    </xf>
    <xf numFmtId="0" fontId="4" fillId="0" borderId="1" xfId="0" applyFont="1" applyBorder="1"/>
    <xf numFmtId="3" fontId="4" fillId="0" borderId="1" xfId="0" applyNumberFormat="1" applyFont="1" applyBorder="1"/>
    <xf numFmtId="3" fontId="4" fillId="0" borderId="1" xfId="0" applyNumberFormat="1" applyFont="1" applyBorder="1" applyAlignment="1">
      <alignment horizontal="left"/>
    </xf>
    <xf numFmtId="10" fontId="1" fillId="0" borderId="1" xfId="3" applyNumberFormat="1" applyFont="1" applyBorder="1"/>
    <xf numFmtId="0" fontId="3" fillId="0" borderId="2" xfId="0" applyFont="1" applyBorder="1"/>
    <xf numFmtId="3" fontId="3" fillId="0" borderId="2" xfId="0" applyNumberFormat="1" applyFont="1" applyBorder="1"/>
    <xf numFmtId="3" fontId="3" fillId="0" borderId="0" xfId="0" applyNumberFormat="1" applyFont="1" applyBorder="1"/>
    <xf numFmtId="166" fontId="3" fillId="0" borderId="2" xfId="0" applyNumberFormat="1" applyFont="1" applyBorder="1"/>
    <xf numFmtId="0" fontId="3" fillId="0" borderId="0" xfId="0" applyFont="1" applyBorder="1"/>
    <xf numFmtId="0" fontId="3" fillId="0" borderId="3" xfId="0" applyFont="1" applyBorder="1"/>
    <xf numFmtId="3" fontId="3" fillId="0" borderId="3" xfId="0" applyNumberFormat="1" applyFont="1" applyBorder="1"/>
    <xf numFmtId="10" fontId="0" fillId="0" borderId="3" xfId="0" applyNumberFormat="1" applyBorder="1"/>
    <xf numFmtId="166" fontId="0" fillId="0" borderId="3" xfId="0" applyNumberFormat="1" applyBorder="1"/>
    <xf numFmtId="166" fontId="3" fillId="0" borderId="3" xfId="0" applyNumberFormat="1" applyFont="1" applyBorder="1"/>
    <xf numFmtId="168" fontId="3" fillId="0" borderId="0" xfId="0" applyNumberFormat="1" applyFont="1" applyFill="1" applyBorder="1"/>
    <xf numFmtId="166" fontId="4" fillId="0" borderId="0" xfId="0" applyNumberFormat="1" applyFont="1"/>
    <xf numFmtId="0" fontId="0" fillId="0" borderId="0" xfId="0" applyFont="1"/>
    <xf numFmtId="0" fontId="0" fillId="0" borderId="3" xfId="0" applyBorder="1"/>
    <xf numFmtId="0" fontId="3" fillId="0" borderId="4" xfId="0" applyFont="1" applyBorder="1"/>
    <xf numFmtId="3" fontId="3" fillId="0" borderId="4" xfId="0" applyNumberFormat="1" applyFont="1" applyBorder="1"/>
    <xf numFmtId="10" fontId="0" fillId="0" borderId="4" xfId="0" applyNumberFormat="1" applyBorder="1"/>
    <xf numFmtId="166" fontId="0" fillId="0" borderId="4" xfId="0" applyNumberFormat="1" applyBorder="1"/>
    <xf numFmtId="166" fontId="3" fillId="0" borderId="4" xfId="0" applyNumberFormat="1" applyFont="1" applyBorder="1"/>
    <xf numFmtId="0" fontId="0" fillId="0" borderId="4" xfId="0" applyBorder="1"/>
    <xf numFmtId="0" fontId="3" fillId="0" borderId="1" xfId="0" applyFont="1" applyFill="1" applyBorder="1" applyAlignment="1">
      <alignment horizontal="left" wrapText="1"/>
    </xf>
    <xf numFmtId="0" fontId="3" fillId="0" borderId="1" xfId="0" applyFont="1" applyBorder="1"/>
    <xf numFmtId="0" fontId="0" fillId="0" borderId="0" xfId="0" applyAlignment="1"/>
    <xf numFmtId="0" fontId="7" fillId="0" borderId="0" xfId="4" applyAlignment="1" applyProtection="1"/>
    <xf numFmtId="2" fontId="0" fillId="0" borderId="0" xfId="0" applyNumberFormat="1"/>
    <xf numFmtId="0" fontId="3" fillId="0" borderId="1" xfId="0" applyFont="1" applyBorder="1" applyAlignment="1">
      <alignment horizontal="left"/>
    </xf>
    <xf numFmtId="0" fontId="0" fillId="0" borderId="0" xfId="0" applyAlignment="1">
      <alignment horizontal="center"/>
    </xf>
    <xf numFmtId="0" fontId="12" fillId="0" borderId="0" xfId="0" applyFont="1" applyBorder="1" applyAlignment="1">
      <alignment horizontal="left" indent="2"/>
    </xf>
    <xf numFmtId="169" fontId="0" fillId="0" borderId="0" xfId="0" applyNumberFormat="1" applyBorder="1"/>
    <xf numFmtId="166" fontId="1" fillId="0" borderId="0" xfId="3" applyNumberFormat="1" applyFont="1"/>
    <xf numFmtId="0" fontId="3" fillId="0" borderId="0" xfId="0" applyFont="1" applyBorder="1" applyAlignment="1">
      <alignment horizontal="left"/>
    </xf>
    <xf numFmtId="0" fontId="0" fillId="0" borderId="0" xfId="0" applyFont="1" applyBorder="1" applyAlignment="1">
      <alignment horizontal="left" indent="1"/>
    </xf>
    <xf numFmtId="0" fontId="0" fillId="0" borderId="1" xfId="0" applyFont="1" applyBorder="1" applyAlignment="1">
      <alignment horizontal="left" indent="1"/>
    </xf>
    <xf numFmtId="166" fontId="1" fillId="0" borderId="1" xfId="3" applyNumberFormat="1" applyFont="1" applyBorder="1"/>
    <xf numFmtId="166" fontId="1" fillId="0" borderId="0" xfId="3" applyNumberFormat="1" applyFont="1" applyBorder="1"/>
    <xf numFmtId="0" fontId="12" fillId="0" borderId="0" xfId="0" applyFont="1" applyFill="1" applyBorder="1"/>
    <xf numFmtId="166" fontId="1" fillId="0" borderId="0" xfId="3" applyNumberFormat="1" applyFont="1" applyFill="1" applyBorder="1"/>
    <xf numFmtId="167" fontId="1" fillId="0" borderId="0" xfId="1" applyNumberFormat="1" applyFont="1"/>
    <xf numFmtId="167" fontId="13" fillId="0" borderId="0" xfId="1" applyNumberFormat="1" applyFont="1"/>
    <xf numFmtId="166" fontId="13" fillId="0" borderId="0" xfId="3" applyNumberFormat="1" applyFont="1"/>
    <xf numFmtId="167" fontId="1" fillId="0" borderId="1" xfId="1" applyNumberFormat="1" applyFont="1" applyBorder="1"/>
    <xf numFmtId="167" fontId="0" fillId="0" borderId="0" xfId="0" applyNumberFormat="1"/>
    <xf numFmtId="167" fontId="0" fillId="0" borderId="1" xfId="0" applyNumberFormat="1" applyBorder="1"/>
    <xf numFmtId="0" fontId="0" fillId="0" borderId="5" xfId="0" applyBorder="1"/>
    <xf numFmtId="0" fontId="0" fillId="0" borderId="1" xfId="0" applyFill="1" applyBorder="1"/>
    <xf numFmtId="43" fontId="1" fillId="0" borderId="0" xfId="1" applyNumberFormat="1" applyFont="1"/>
    <xf numFmtId="9" fontId="0" fillId="0" borderId="0" xfId="0" applyNumberFormat="1"/>
    <xf numFmtId="0" fontId="3" fillId="0" borderId="1" xfId="0" applyFont="1" applyBorder="1" applyAlignment="1">
      <alignment vertical="center"/>
    </xf>
    <xf numFmtId="17" fontId="0" fillId="0" borderId="7" xfId="0" applyNumberFormat="1" applyBorder="1"/>
    <xf numFmtId="17" fontId="0" fillId="0" borderId="3" xfId="0" applyNumberFormat="1" applyBorder="1"/>
    <xf numFmtId="17" fontId="0" fillId="0" borderId="8" xfId="0" applyNumberFormat="1" applyBorder="1"/>
    <xf numFmtId="17" fontId="0" fillId="0" borderId="5" xfId="0" applyNumberFormat="1" applyBorder="1"/>
    <xf numFmtId="17" fontId="0" fillId="0" borderId="5" xfId="0" applyNumberFormat="1" applyFill="1" applyBorder="1"/>
    <xf numFmtId="17" fontId="0" fillId="0" borderId="0" xfId="0" applyNumberFormat="1" applyBorder="1"/>
    <xf numFmtId="170" fontId="0" fillId="0" borderId="9" xfId="0" applyNumberFormat="1" applyBorder="1"/>
    <xf numFmtId="170" fontId="0" fillId="0" borderId="0" xfId="0" applyNumberFormat="1" applyBorder="1"/>
    <xf numFmtId="170" fontId="0" fillId="0" borderId="6" xfId="0" applyNumberFormat="1" applyBorder="1"/>
    <xf numFmtId="166" fontId="1" fillId="0" borderId="6" xfId="3" applyNumberFormat="1" applyFont="1" applyBorder="1"/>
    <xf numFmtId="170" fontId="0" fillId="0" borderId="10" xfId="0" applyNumberFormat="1" applyBorder="1"/>
    <xf numFmtId="170" fontId="0" fillId="0" borderId="1" xfId="0" applyNumberFormat="1" applyBorder="1"/>
    <xf numFmtId="170" fontId="0" fillId="0" borderId="11" xfId="0" applyNumberFormat="1" applyBorder="1"/>
    <xf numFmtId="166" fontId="1" fillId="0" borderId="11" xfId="3" applyNumberFormat="1" applyFont="1" applyBorder="1"/>
    <xf numFmtId="0" fontId="0" fillId="0" borderId="5" xfId="0" applyFont="1" applyFill="1" applyBorder="1" applyAlignment="1">
      <alignment horizontal="left" indent="1"/>
    </xf>
    <xf numFmtId="170" fontId="0" fillId="0" borderId="7" xfId="0" applyNumberFormat="1" applyBorder="1"/>
    <xf numFmtId="170" fontId="0" fillId="0" borderId="3" xfId="0" applyNumberFormat="1" applyBorder="1"/>
    <xf numFmtId="170" fontId="0" fillId="0" borderId="8" xfId="0" applyNumberFormat="1" applyBorder="1"/>
    <xf numFmtId="167" fontId="0" fillId="0" borderId="0" xfId="1" applyNumberFormat="1" applyFont="1"/>
    <xf numFmtId="0" fontId="5" fillId="0" borderId="1" xfId="0" applyFont="1" applyBorder="1" applyAlignment="1">
      <alignment horizontal="center"/>
    </xf>
    <xf numFmtId="0" fontId="0" fillId="0" borderId="0" xfId="0" applyAlignment="1">
      <alignment horizontal="center" vertical="center" wrapText="1"/>
    </xf>
    <xf numFmtId="0" fontId="0" fillId="0" borderId="0" xfId="0" applyAlignment="1">
      <alignment horizontal="right"/>
    </xf>
    <xf numFmtId="0" fontId="15" fillId="0" borderId="7" xfId="7" applyFont="1" applyBorder="1" applyAlignment="1">
      <alignment horizontal="center"/>
    </xf>
    <xf numFmtId="0" fontId="15" fillId="0" borderId="3" xfId="7" applyFont="1" applyBorder="1" applyAlignment="1">
      <alignment horizontal="center"/>
    </xf>
    <xf numFmtId="0" fontId="15" fillId="0" borderId="8" xfId="7" applyFont="1" applyBorder="1" applyAlignment="1">
      <alignment horizontal="center"/>
    </xf>
    <xf numFmtId="0" fontId="3" fillId="0" borderId="7"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0" borderId="5" xfId="0" applyFont="1" applyBorder="1" applyAlignment="1">
      <alignment horizontal="center"/>
    </xf>
  </cellXfs>
  <cellStyles count="8">
    <cellStyle name="Comma" xfId="1" builtinId="3"/>
    <cellStyle name="Currency" xfId="2" builtinId="4"/>
    <cellStyle name="Hyperlink" xfId="4" builtinId="8"/>
    <cellStyle name="Hyperlink 3" xfId="6"/>
    <cellStyle name="Normal" xfId="0" builtinId="0"/>
    <cellStyle name="Normal 2 2" xfId="7"/>
    <cellStyle name="Normal 8" xfId="5"/>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beehive.govt.nz/speech/social-investment-approach-mental-health"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health.govt.nz/new-zealand-health-system/key-health-sector-organisations-and-people/district-health-boards/accountability-and-funding/summary-financial-reports/dhb-sector-financial-reports-2016-17" TargetMode="External"/><Relationship Id="rId1" Type="http://schemas.openxmlformats.org/officeDocument/2006/relationships/hyperlink" Target="http://beehive.govt.nz/sites/all/files/TerraNova%20Questions%20and%20Answers.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96"/>
  <sheetViews>
    <sheetView tabSelected="1" zoomScale="85" zoomScaleNormal="85" workbookViewId="0">
      <pane xSplit="3" ySplit="3" topLeftCell="N4" activePane="bottomRight" state="frozen"/>
      <selection activeCell="A3" sqref="A3"/>
      <selection pane="topRight" activeCell="A3" sqref="A3"/>
      <selection pane="bottomLeft" activeCell="A3" sqref="A3"/>
      <selection pane="bottomRight" activeCell="N32" sqref="N32"/>
    </sheetView>
  </sheetViews>
  <sheetFormatPr defaultRowHeight="15"/>
  <cols>
    <col min="1" max="1" width="62.140625" customWidth="1"/>
    <col min="2" max="2" width="17.42578125" customWidth="1"/>
    <col min="3" max="3" width="13.140625" customWidth="1"/>
    <col min="4" max="4" width="11.42578125" customWidth="1"/>
    <col min="5" max="5" width="11.85546875" customWidth="1"/>
    <col min="6" max="6" width="11.42578125" customWidth="1"/>
    <col min="7" max="7" width="11.85546875" customWidth="1"/>
    <col min="8" max="8" width="11.42578125" customWidth="1"/>
    <col min="9" max="9" width="12.140625" customWidth="1"/>
    <col min="10" max="10" width="11.42578125" customWidth="1"/>
    <col min="11" max="11" width="12.140625" customWidth="1"/>
    <col min="12" max="12" width="12.5703125" customWidth="1"/>
    <col min="13" max="14" width="12.85546875" customWidth="1"/>
    <col min="15" max="15" width="11" customWidth="1"/>
    <col min="16" max="19" width="13.85546875" customWidth="1"/>
    <col min="20" max="20" width="2.7109375" customWidth="1"/>
    <col min="21" max="21" width="15.28515625" bestFit="1" customWidth="1"/>
    <col min="22" max="22" width="2.7109375" customWidth="1"/>
    <col min="23" max="23" width="10" customWidth="1"/>
    <col min="24" max="24" width="13.140625" customWidth="1"/>
    <col min="25" max="26" width="11.140625" customWidth="1"/>
    <col min="27" max="27" width="3.140625" customWidth="1"/>
    <col min="28" max="28" width="16.28515625" customWidth="1"/>
    <col min="29" max="29" width="11.42578125" customWidth="1"/>
    <col min="30" max="30" width="10.28515625" customWidth="1"/>
    <col min="31" max="31" width="10" customWidth="1"/>
    <col min="32" max="32" width="10.140625" bestFit="1" customWidth="1"/>
    <col min="34" max="34" width="12.28515625" customWidth="1"/>
    <col min="35" max="35" width="12" customWidth="1"/>
    <col min="36" max="36" width="11" customWidth="1"/>
    <col min="37" max="37" width="11.140625" bestFit="1" customWidth="1"/>
    <col min="38" max="38" width="9.42578125" bestFit="1" customWidth="1"/>
    <col min="39" max="39" width="11.28515625" bestFit="1" customWidth="1"/>
    <col min="40" max="40" width="10.28515625" bestFit="1" customWidth="1"/>
    <col min="41" max="41" width="11.28515625" bestFit="1" customWidth="1"/>
    <col min="42" max="42" width="11" customWidth="1"/>
  </cols>
  <sheetData>
    <row r="1" spans="1:40" ht="36" customHeight="1">
      <c r="A1" s="1" t="s">
        <v>0</v>
      </c>
      <c r="B1" s="2">
        <f>Z65*1000</f>
        <v>1095973865.029983</v>
      </c>
      <c r="C1">
        <v>1</v>
      </c>
      <c r="D1" s="137" t="s">
        <v>1</v>
      </c>
      <c r="E1" s="137"/>
      <c r="F1" s="137"/>
      <c r="G1" s="137"/>
      <c r="H1" s="137"/>
      <c r="I1" s="137"/>
      <c r="J1" s="137"/>
      <c r="K1" s="137"/>
      <c r="L1" s="137"/>
      <c r="M1" s="137"/>
      <c r="N1" s="137"/>
      <c r="O1" s="137"/>
      <c r="P1" s="137"/>
      <c r="Q1" s="137"/>
      <c r="R1" s="137"/>
      <c r="S1" s="137"/>
      <c r="T1" s="137"/>
      <c r="U1" s="137"/>
      <c r="V1" s="137"/>
      <c r="W1" s="137"/>
      <c r="X1" s="137"/>
      <c r="Y1" s="137"/>
      <c r="Z1" s="137"/>
      <c r="AA1" s="3"/>
    </row>
    <row r="2" spans="1:40" ht="97.5" customHeight="1">
      <c r="A2" s="4">
        <v>1.5</v>
      </c>
      <c r="B2" s="5">
        <f>B1/(A2*10^9)</f>
        <v>0.73064924335332204</v>
      </c>
      <c r="C2" s="6" t="s">
        <v>2</v>
      </c>
      <c r="D2" s="7" t="s">
        <v>3</v>
      </c>
      <c r="E2" s="7" t="s">
        <v>4</v>
      </c>
      <c r="F2" s="7" t="s">
        <v>5</v>
      </c>
      <c r="G2" s="7" t="s">
        <v>6</v>
      </c>
      <c r="H2" s="7" t="s">
        <v>7</v>
      </c>
      <c r="I2" s="7" t="s">
        <v>8</v>
      </c>
      <c r="J2" s="7" t="s">
        <v>9</v>
      </c>
      <c r="K2" s="7" t="s">
        <v>10</v>
      </c>
      <c r="L2" s="7" t="s">
        <v>11</v>
      </c>
      <c r="M2" s="7" t="s">
        <v>12</v>
      </c>
      <c r="N2" s="7" t="s">
        <v>13</v>
      </c>
      <c r="O2" s="8" t="s">
        <v>14</v>
      </c>
      <c r="P2" s="8" t="s">
        <v>15</v>
      </c>
      <c r="Q2" s="8" t="s">
        <v>16</v>
      </c>
      <c r="R2" s="8" t="s">
        <v>17</v>
      </c>
      <c r="S2" s="8" t="s">
        <v>18</v>
      </c>
      <c r="T2" s="9"/>
      <c r="U2" s="10" t="s">
        <v>19</v>
      </c>
      <c r="V2" s="10"/>
      <c r="W2" s="10" t="s">
        <v>20</v>
      </c>
      <c r="X2" s="10" t="s">
        <v>21</v>
      </c>
      <c r="Y2" s="10" t="s">
        <v>22</v>
      </c>
      <c r="Z2" s="10" t="s">
        <v>23</v>
      </c>
      <c r="AA2" s="10"/>
      <c r="AB2" s="10" t="s">
        <v>24</v>
      </c>
      <c r="AC2" s="10" t="s">
        <v>25</v>
      </c>
      <c r="AD2" s="10" t="s">
        <v>26</v>
      </c>
      <c r="AE2" s="10" t="s">
        <v>27</v>
      </c>
      <c r="AF2" s="10" t="s">
        <v>28</v>
      </c>
      <c r="AG2" s="10" t="s">
        <v>29</v>
      </c>
      <c r="AH2" s="10" t="s">
        <v>30</v>
      </c>
      <c r="AI2" s="10" t="s">
        <v>31</v>
      </c>
      <c r="AJ2" s="10" t="s">
        <v>32</v>
      </c>
      <c r="AK2" s="10" t="s">
        <v>33</v>
      </c>
    </row>
    <row r="3" spans="1:40">
      <c r="A3" s="1" t="s">
        <v>34</v>
      </c>
      <c r="B3" s="2">
        <f>B1-W65*1000</f>
        <v>721023865.02998304</v>
      </c>
      <c r="C3" s="11" t="s">
        <v>35</v>
      </c>
      <c r="D3" s="12" t="s">
        <v>36</v>
      </c>
      <c r="E3" s="12" t="s">
        <v>36</v>
      </c>
      <c r="F3" s="12" t="s">
        <v>36</v>
      </c>
      <c r="G3" s="12" t="s">
        <v>36</v>
      </c>
      <c r="H3" s="12" t="s">
        <v>36</v>
      </c>
      <c r="I3" s="12" t="s">
        <v>36</v>
      </c>
      <c r="J3" s="12" t="s">
        <v>36</v>
      </c>
      <c r="K3" s="12" t="s">
        <v>36</v>
      </c>
      <c r="L3" s="12" t="s">
        <v>36</v>
      </c>
      <c r="M3" s="12" t="s">
        <v>36</v>
      </c>
      <c r="N3" s="12" t="s">
        <v>36</v>
      </c>
      <c r="O3" s="13" t="s">
        <v>36</v>
      </c>
      <c r="P3" s="13" t="s">
        <v>36</v>
      </c>
      <c r="Q3" s="13"/>
      <c r="R3" s="13"/>
      <c r="S3" s="13" t="s">
        <v>36</v>
      </c>
      <c r="T3" s="14"/>
      <c r="U3" s="13" t="s">
        <v>36</v>
      </c>
      <c r="V3" s="13"/>
      <c r="W3" s="15" t="s">
        <v>35</v>
      </c>
      <c r="X3" s="15" t="s">
        <v>35</v>
      </c>
      <c r="Y3" s="15" t="s">
        <v>35</v>
      </c>
      <c r="Z3" s="15" t="s">
        <v>35</v>
      </c>
      <c r="AA3" s="15"/>
      <c r="AB3" s="13" t="s">
        <v>36</v>
      </c>
      <c r="AC3" s="11" t="s">
        <v>36</v>
      </c>
      <c r="AD3" s="11" t="s">
        <v>36</v>
      </c>
      <c r="AE3" s="11" t="s">
        <v>36</v>
      </c>
      <c r="AF3" s="14"/>
      <c r="AG3" s="16"/>
      <c r="AH3" s="14"/>
      <c r="AI3" s="14"/>
      <c r="AJ3" s="12" t="s">
        <v>36</v>
      </c>
      <c r="AK3" s="12" t="s">
        <v>36</v>
      </c>
    </row>
    <row r="4" spans="1:40">
      <c r="A4" s="1" t="s">
        <v>37</v>
      </c>
      <c r="B4" s="2">
        <v>1095973865.029983</v>
      </c>
      <c r="C4" s="17" t="s">
        <v>38</v>
      </c>
      <c r="D4" s="18">
        <f>AllIndustriesWageIncr17</f>
        <v>2.1999999999999999E-2</v>
      </c>
      <c r="E4" s="18">
        <f>DHBProviderProportion17*'DHB Stats'!$Y$59</f>
        <v>0.11182936830646191</v>
      </c>
      <c r="F4" s="18">
        <f>AllIndustriesWageIncr17</f>
        <v>2.1999999999999999E-2</v>
      </c>
      <c r="G4" s="18">
        <f>DHBProviderProportion17*'DHB Stats'!$Z$59</f>
        <v>0.13567632527670975</v>
      </c>
      <c r="H4" s="18">
        <f>AllIndustriesWageIncr17</f>
        <v>2.1999999999999999E-2</v>
      </c>
      <c r="I4" s="18">
        <f>DHBProviderProportion17*'DHB Stats'!$AA$59</f>
        <v>0.10648606226539337</v>
      </c>
      <c r="J4" s="18">
        <f>OtherWagesIncreases17*(1-'DHB Stats'!W7)+HighMinWageSectorWageIncrease17*'DHB Stats'!W7</f>
        <v>2.4125583611243451E-2</v>
      </c>
      <c r="K4" s="18">
        <f>(1-DHBProviderProportion17)*LabourProportion17</f>
        <v>0.27605677640120929</v>
      </c>
      <c r="L4" s="18">
        <f>_CPI17</f>
        <v>0.02</v>
      </c>
      <c r="M4" s="19">
        <f>1-LabourProportion17</f>
        <v>0.36995146775022569</v>
      </c>
      <c r="N4" s="19">
        <f>_CPI17</f>
        <v>0.02</v>
      </c>
      <c r="O4" s="18">
        <v>2.510707935360923E-2</v>
      </c>
      <c r="P4" s="18">
        <f>IF(NDGandProdSwitch17=0,1,0)*1.5%</f>
        <v>0</v>
      </c>
      <c r="Q4" s="18">
        <f>IF(NDGandProdSwitch17=0,1,0)*0.3%</f>
        <v>0</v>
      </c>
      <c r="R4" s="18">
        <v>1</v>
      </c>
      <c r="S4" s="18">
        <v>3.4000000000000002E-2</v>
      </c>
      <c r="T4" s="20"/>
      <c r="U4" s="20"/>
      <c r="V4" s="21"/>
      <c r="W4" s="21"/>
      <c r="X4" s="22"/>
      <c r="Y4" s="21"/>
      <c r="Z4" s="21"/>
      <c r="AA4" s="21"/>
      <c r="AB4" s="18">
        <f>'DHB Stats'!W59</f>
        <v>0.63004853224977431</v>
      </c>
      <c r="AC4" s="23">
        <v>0.02</v>
      </c>
      <c r="AD4" s="23">
        <v>2.6272577996715896E-2</v>
      </c>
      <c r="AE4" s="23">
        <v>5.8721740663003619E-3</v>
      </c>
      <c r="AF4" s="23">
        <f>(MedicalSalaryIncreases17*MedicalProportion17+NursingSalaryIncrease17*NursingProportion17+OtherDHBWageIncreases17*OtherWageProportion17)/(MedicalProportion17+NursingProportion17+OtherWageProportion17)</f>
        <v>2.1999999999999999E-2</v>
      </c>
      <c r="AG4" s="23">
        <f>(MedicalSalaryIncreases17*MedicalProportion17+NursingSalaryIncrease17*NursingProportion17+OtherDHBWageIncreases17*OtherWageProportion17+DHBFundedWageIncreases17*DHBFundedProportion17)/LabourProportion17</f>
        <v>2.2931327873419262E-2</v>
      </c>
      <c r="AH4" s="23">
        <v>2.1999999999999999E-2</v>
      </c>
      <c r="AI4" s="23">
        <f>'DHB Stats'!K33</f>
        <v>0.56184839378092499</v>
      </c>
      <c r="AJ4" s="19">
        <f>80%*3.3%+20%*2.2%</f>
        <v>3.0800000000000004E-2</v>
      </c>
      <c r="AK4" s="19">
        <f>AllIndustriesWageIncr17</f>
        <v>2.1999999999999999E-2</v>
      </c>
    </row>
    <row r="5" spans="1:40">
      <c r="B5" s="24">
        <f>B4-B1</f>
        <v>0</v>
      </c>
      <c r="C5" s="25"/>
      <c r="D5" s="26"/>
      <c r="E5" s="27"/>
      <c r="F5" s="27"/>
      <c r="G5" s="27"/>
      <c r="H5" s="28"/>
      <c r="I5" s="28"/>
      <c r="J5" s="28"/>
      <c r="K5" s="28"/>
      <c r="L5" s="28"/>
      <c r="M5" s="28"/>
      <c r="N5" s="28"/>
      <c r="O5" s="18"/>
      <c r="P5" s="18"/>
      <c r="Q5" s="18"/>
      <c r="R5" s="29"/>
      <c r="S5" s="29"/>
      <c r="T5" s="30"/>
      <c r="U5" s="30"/>
      <c r="AB5" s="9"/>
      <c r="AC5" s="31"/>
      <c r="AD5" s="9"/>
      <c r="AE5" s="9"/>
      <c r="AF5" s="9"/>
      <c r="AG5" s="9"/>
      <c r="AH5" s="9"/>
      <c r="AI5" s="9"/>
    </row>
    <row r="6" spans="1:40">
      <c r="C6" s="25"/>
      <c r="D6" s="28"/>
      <c r="E6" s="28"/>
      <c r="F6" s="28"/>
      <c r="G6" s="28"/>
      <c r="H6" s="28"/>
      <c r="I6" s="28"/>
      <c r="J6" s="28"/>
      <c r="K6" s="28"/>
      <c r="L6" s="28"/>
      <c r="M6" s="28"/>
      <c r="N6" s="28"/>
      <c r="O6" s="18"/>
      <c r="P6" s="18"/>
      <c r="Q6" s="18"/>
      <c r="R6" s="29"/>
      <c r="S6" s="29"/>
      <c r="T6" s="30"/>
      <c r="U6" s="30"/>
      <c r="AB6" s="9"/>
      <c r="AC6" s="9"/>
      <c r="AD6" s="9"/>
      <c r="AE6" s="9"/>
      <c r="AF6" s="9"/>
      <c r="AG6" s="9"/>
      <c r="AH6" s="9"/>
      <c r="AI6" s="9"/>
    </row>
    <row r="7" spans="1:40">
      <c r="C7" s="25"/>
      <c r="D7" s="28"/>
      <c r="E7" s="28"/>
      <c r="F7" s="28"/>
      <c r="G7" s="28"/>
      <c r="H7" s="28"/>
      <c r="I7" s="28"/>
      <c r="J7" s="28"/>
      <c r="K7" s="28"/>
      <c r="L7" s="28"/>
      <c r="M7" s="28"/>
      <c r="N7" s="28"/>
      <c r="O7" s="18"/>
      <c r="P7" s="18"/>
      <c r="Q7" s="18"/>
      <c r="R7" s="29"/>
      <c r="S7" s="29"/>
      <c r="T7" s="30"/>
      <c r="U7" s="30"/>
      <c r="AB7" s="9"/>
      <c r="AC7" s="9"/>
      <c r="AD7" s="9"/>
      <c r="AE7" s="9"/>
      <c r="AF7" s="9"/>
      <c r="AG7" s="9"/>
      <c r="AH7" s="9"/>
      <c r="AI7" s="9"/>
    </row>
    <row r="8" spans="1:40">
      <c r="A8" s="6" t="s">
        <v>39</v>
      </c>
      <c r="B8" s="6"/>
      <c r="C8" s="32">
        <v>195677</v>
      </c>
      <c r="D8" s="33"/>
      <c r="E8" s="33"/>
      <c r="F8" s="33"/>
      <c r="G8" s="33"/>
      <c r="H8" s="33"/>
      <c r="I8" s="33"/>
      <c r="J8" s="33">
        <f>AllIndustriesWageIncr17</f>
        <v>2.1999999999999999E-2</v>
      </c>
      <c r="K8" s="33">
        <f>LabourProportion17</f>
        <v>0.63004853224977431</v>
      </c>
      <c r="L8" s="33"/>
      <c r="M8" s="33">
        <f>NonLabourProportion17</f>
        <v>0.36995146775022569</v>
      </c>
      <c r="N8" s="33">
        <f>NonLabourGeneralCostIncreases17</f>
        <v>0.02</v>
      </c>
      <c r="O8" s="33"/>
      <c r="P8" s="33"/>
      <c r="Q8" s="33">
        <f>ProductivityGrowth17</f>
        <v>0</v>
      </c>
      <c r="R8" s="33"/>
      <c r="S8" s="33"/>
      <c r="T8" s="33"/>
      <c r="U8" s="34">
        <f>((1+D8)*E8+(1+F8)*G8+(1+H8)*I8+(1+J8)*K8+(1+L8+N8)*M8)*(1+O8)*(1+P8)*(1-Q8)+R8*(1+S8)-1</f>
        <v>2.1260097064499606E-2</v>
      </c>
      <c r="V8" s="33"/>
      <c r="W8" s="35"/>
      <c r="X8" s="35">
        <f>C8*(1+U8)+W8</f>
        <v>199837.11201329008</v>
      </c>
      <c r="Y8" s="32">
        <f>X8</f>
        <v>199837.11201329008</v>
      </c>
      <c r="Z8" s="32">
        <f>Y8-C8</f>
        <v>4160.1120132900833</v>
      </c>
      <c r="AA8" s="32"/>
      <c r="AB8" s="9"/>
      <c r="AC8" s="9"/>
      <c r="AD8" s="9"/>
      <c r="AE8" s="9"/>
      <c r="AF8" s="9"/>
      <c r="AG8" s="9"/>
      <c r="AH8" s="9"/>
      <c r="AI8" s="9"/>
    </row>
    <row r="9" spans="1:40">
      <c r="D9" s="33"/>
      <c r="E9" s="33"/>
      <c r="F9" s="33"/>
      <c r="G9" s="33"/>
      <c r="H9" s="33"/>
      <c r="I9" s="33"/>
      <c r="J9" s="33"/>
      <c r="K9" s="33"/>
      <c r="L9" s="33"/>
      <c r="M9" s="33"/>
      <c r="N9" s="33"/>
      <c r="O9" s="33"/>
      <c r="P9" s="33"/>
      <c r="Q9" s="33"/>
      <c r="R9" s="33"/>
      <c r="S9" s="33"/>
      <c r="T9" s="33"/>
      <c r="U9" s="33"/>
      <c r="X9" s="35"/>
      <c r="Y9" s="36"/>
      <c r="Z9" s="37"/>
      <c r="AA9" s="9"/>
      <c r="AB9" s="9"/>
      <c r="AC9" s="9"/>
      <c r="AD9" s="9"/>
      <c r="AE9" s="9"/>
      <c r="AF9" s="9"/>
      <c r="AG9" s="9"/>
      <c r="AH9" s="9"/>
      <c r="AI9" s="9"/>
    </row>
    <row r="10" spans="1:40">
      <c r="A10" s="6" t="s">
        <v>40</v>
      </c>
      <c r="B10" s="6"/>
      <c r="D10" s="33"/>
      <c r="E10" s="33"/>
      <c r="F10" s="33"/>
      <c r="G10" s="33"/>
      <c r="H10" s="33"/>
      <c r="I10" s="33"/>
      <c r="J10" s="33"/>
      <c r="K10" s="33"/>
      <c r="L10" s="33"/>
      <c r="M10" s="33"/>
      <c r="N10" s="33"/>
      <c r="O10" s="33"/>
      <c r="P10" s="33"/>
      <c r="Q10" s="33"/>
      <c r="R10" s="33"/>
      <c r="S10" s="33"/>
      <c r="T10" s="33"/>
      <c r="U10" s="33"/>
      <c r="AB10" s="38"/>
      <c r="AC10" s="9"/>
      <c r="AD10" s="9"/>
      <c r="AE10" s="9"/>
      <c r="AF10" s="9"/>
      <c r="AG10" s="9"/>
      <c r="AH10" s="9"/>
      <c r="AI10" s="9"/>
    </row>
    <row r="11" spans="1:40">
      <c r="A11" s="39" t="s">
        <v>41</v>
      </c>
      <c r="B11" s="39"/>
      <c r="D11" s="33"/>
      <c r="E11" s="33"/>
      <c r="F11" s="33"/>
      <c r="G11" s="33"/>
      <c r="H11" s="33"/>
      <c r="I11" s="33"/>
      <c r="J11" s="33"/>
      <c r="K11" s="33"/>
      <c r="L11" s="33"/>
      <c r="M11" s="33"/>
      <c r="N11" s="33"/>
      <c r="O11" s="33"/>
      <c r="P11" s="33"/>
      <c r="Q11" s="33"/>
      <c r="R11" s="33"/>
      <c r="S11" s="33"/>
      <c r="T11" s="33"/>
      <c r="U11" s="33"/>
      <c r="AB11" s="40"/>
      <c r="AC11" s="9"/>
      <c r="AD11" s="9"/>
      <c r="AE11" s="9"/>
      <c r="AF11" s="9"/>
      <c r="AG11" s="9"/>
      <c r="AH11" s="9"/>
      <c r="AI11" s="9"/>
    </row>
    <row r="12" spans="1:40">
      <c r="A12" s="41" t="s">
        <v>42</v>
      </c>
      <c r="B12" s="41"/>
      <c r="C12" s="35">
        <v>1168145</v>
      </c>
      <c r="D12" s="33">
        <f t="shared" ref="D12:D32" si="0">MedicalSalaryIncreases17</f>
        <v>2.1999999999999999E-2</v>
      </c>
      <c r="E12" s="33">
        <f>'DHB Stats'!$K11*'DHB Stats'!Y37</f>
        <v>0.1527663869605935</v>
      </c>
      <c r="F12" s="33">
        <f t="shared" ref="F12:F32" si="1">NursingSalaryIncrease17</f>
        <v>2.1999999999999999E-2</v>
      </c>
      <c r="G12" s="33">
        <f>'DHB Stats'!$K11*'DHB Stats'!Z37</f>
        <v>0.13365146272094891</v>
      </c>
      <c r="H12" s="33">
        <f t="shared" ref="H12:H32" si="2">OtherDHBWageIncreases17</f>
        <v>2.1999999999999999E-2</v>
      </c>
      <c r="I12" s="33">
        <f>'DHB Stats'!$K11*'DHB Stats'!AA37</f>
        <v>0.11437661631967501</v>
      </c>
      <c r="J12" s="33">
        <f t="shared" ref="J12:J32" si="3">DHBFundedWageIncreases17</f>
        <v>2.4125583611243451E-2</v>
      </c>
      <c r="K12" s="33">
        <f>(1-'DHB Stats'!$K11)*'DHB Stats'!W37</f>
        <v>0.21392222183554849</v>
      </c>
      <c r="L12" s="33">
        <f t="shared" ref="L12:L32" si="4">NonLabourHealthServicesCostIncrease17</f>
        <v>0.02</v>
      </c>
      <c r="M12" s="33">
        <f>1-'DHB Stats'!W37</f>
        <v>0.38528331216323408</v>
      </c>
      <c r="N12" s="33"/>
      <c r="O12" s="33">
        <v>3.1388218900012088E-2</v>
      </c>
      <c r="P12" s="33">
        <f t="shared" ref="P12:P32" si="5">NonDemographicGrowth17</f>
        <v>0</v>
      </c>
      <c r="Q12" s="33">
        <f t="shared" ref="Q12:Q32" si="6">ProductivityGrowth17</f>
        <v>0</v>
      </c>
      <c r="R12" s="33"/>
      <c r="S12" s="33"/>
      <c r="T12" s="33"/>
      <c r="U12" s="34">
        <f>((1+D12)*E12+(1+F12)*G12+(1+H12)*I12+(1+J12)*K12+(1+L12+N12)*M12)*(1+O12)*(1+P12)*(1-Q12)+R12*(1+S12)-1</f>
        <v>5.3752988469900842E-2</v>
      </c>
      <c r="V12" s="33"/>
      <c r="W12" s="35">
        <f>'Notes 2017-18 pre-Budget'!O24</f>
        <v>6100</v>
      </c>
      <c r="X12" s="35">
        <f t="shared" ref="X12:X31" si="7">C12*(1+U12)+W12</f>
        <v>1237036.2847161724</v>
      </c>
      <c r="Y12" s="35"/>
      <c r="Z12" s="35">
        <f>X12-C12</f>
        <v>68891.284716172377</v>
      </c>
      <c r="AA12" s="33"/>
      <c r="AB12" s="40"/>
      <c r="AD12" s="136"/>
      <c r="AE12" s="9"/>
      <c r="AF12" s="9"/>
      <c r="AG12" s="9"/>
      <c r="AH12" s="9"/>
      <c r="AI12" s="9"/>
      <c r="AM12" s="42"/>
      <c r="AN12" s="42"/>
    </row>
    <row r="13" spans="1:40">
      <c r="A13" s="41" t="s">
        <v>43</v>
      </c>
      <c r="B13" s="41"/>
      <c r="C13" s="35">
        <v>670326</v>
      </c>
      <c r="D13" s="33">
        <f t="shared" si="0"/>
        <v>2.1999999999999999E-2</v>
      </c>
      <c r="E13" s="33">
        <f>'DHB Stats'!$K12*'DHB Stats'!Y38</f>
        <v>8.9680830630015362E-2</v>
      </c>
      <c r="F13" s="33">
        <f t="shared" si="1"/>
        <v>2.1999999999999999E-2</v>
      </c>
      <c r="G13" s="33">
        <f>'DHB Stats'!$K12*'DHB Stats'!Z38</f>
        <v>0.11953752295003117</v>
      </c>
      <c r="H13" s="33">
        <f t="shared" si="2"/>
        <v>2.1999999999999999E-2</v>
      </c>
      <c r="I13" s="33">
        <f>'DHB Stats'!$K12*'DHB Stats'!AA38</f>
        <v>8.8566009729927134E-2</v>
      </c>
      <c r="J13" s="33">
        <f t="shared" si="3"/>
        <v>2.4125583611243451E-2</v>
      </c>
      <c r="K13" s="33">
        <f>(1-'DHB Stats'!$K12)*'DHB Stats'!W38</f>
        <v>0.29679310068786308</v>
      </c>
      <c r="L13" s="33">
        <f t="shared" si="4"/>
        <v>0.02</v>
      </c>
      <c r="M13" s="33">
        <f>1-'DHB Stats'!W38</f>
        <v>0.40542253600216327</v>
      </c>
      <c r="N13" s="33"/>
      <c r="O13" s="33">
        <v>2.6127107800911542E-2</v>
      </c>
      <c r="P13" s="33">
        <f t="shared" si="5"/>
        <v>0</v>
      </c>
      <c r="Q13" s="33">
        <f t="shared" si="6"/>
        <v>0</v>
      </c>
      <c r="R13" s="33"/>
      <c r="S13" s="33"/>
      <c r="T13" s="33"/>
      <c r="U13" s="34">
        <f t="shared" ref="U13:U31" si="8">((1+D13)*E13+(1+F13)*G13+(1+H13)*I13+(1+J13)*K13+(1+L13+N13)*M13)*(1+O13)*(1+P13)*(1-Q13)+R13*(1+S13)-1</f>
        <v>4.8517215124036284E-2</v>
      </c>
      <c r="V13" s="33"/>
      <c r="W13" s="35">
        <f>'Notes 2017-18 pre-Budget'!O25</f>
        <v>3000</v>
      </c>
      <c r="X13" s="35">
        <f t="shared" si="7"/>
        <v>705848.35074523475</v>
      </c>
      <c r="Y13" s="33"/>
      <c r="Z13" s="35">
        <f t="shared" ref="Z13:Z31" si="9">X13-C13</f>
        <v>35522.350745234755</v>
      </c>
      <c r="AA13" s="33"/>
      <c r="AB13" s="40"/>
      <c r="AD13" s="136"/>
      <c r="AE13" s="9"/>
      <c r="AF13" s="9"/>
      <c r="AG13" s="9"/>
      <c r="AH13" s="9"/>
      <c r="AI13" s="9"/>
      <c r="AM13" s="42"/>
      <c r="AN13" s="42"/>
    </row>
    <row r="14" spans="1:40">
      <c r="A14" s="41" t="s">
        <v>44</v>
      </c>
      <c r="B14" s="41"/>
      <c r="C14" s="35">
        <v>1326373</v>
      </c>
      <c r="D14" s="33">
        <f t="shared" si="0"/>
        <v>2.1999999999999999E-2</v>
      </c>
      <c r="E14" s="33">
        <f>'DHB Stats'!$K13*'DHB Stats'!Y39</f>
        <v>0.10978795459101834</v>
      </c>
      <c r="F14" s="33">
        <f t="shared" si="1"/>
        <v>2.1999999999999999E-2</v>
      </c>
      <c r="G14" s="33">
        <f>'DHB Stats'!$K13*'DHB Stats'!Z39</f>
        <v>0.15179934440273246</v>
      </c>
      <c r="H14" s="33">
        <f t="shared" si="2"/>
        <v>2.1999999999999999E-2</v>
      </c>
      <c r="I14" s="33">
        <f>'DHB Stats'!$K13*'DHB Stats'!AA39</f>
        <v>0.11549337541423867</v>
      </c>
      <c r="J14" s="33">
        <f t="shared" si="3"/>
        <v>2.4125583611243451E-2</v>
      </c>
      <c r="K14" s="33">
        <f>(1-'DHB Stats'!$K13)*'DHB Stats'!W39</f>
        <v>0.27618473416598061</v>
      </c>
      <c r="L14" s="33">
        <f t="shared" si="4"/>
        <v>0.02</v>
      </c>
      <c r="M14" s="33">
        <f>1-'DHB Stats'!W39</f>
        <v>0.34673459142602991</v>
      </c>
      <c r="N14" s="33"/>
      <c r="O14" s="33">
        <v>2.8517609856522297E-2</v>
      </c>
      <c r="P14" s="33">
        <f t="shared" si="5"/>
        <v>0</v>
      </c>
      <c r="Q14" s="33">
        <f t="shared" si="6"/>
        <v>0</v>
      </c>
      <c r="R14" s="33"/>
      <c r="S14" s="33"/>
      <c r="T14" s="33"/>
      <c r="U14" s="34">
        <f t="shared" si="8"/>
        <v>5.1035547121182301E-2</v>
      </c>
      <c r="V14" s="33"/>
      <c r="W14" s="35">
        <f>'Notes 2017-18 pre-Budget'!O26</f>
        <v>7400</v>
      </c>
      <c r="X14" s="35">
        <f t="shared" si="7"/>
        <v>1401465.1717417638</v>
      </c>
      <c r="Y14" s="33"/>
      <c r="Z14" s="35">
        <f t="shared" si="9"/>
        <v>75092.171741763828</v>
      </c>
      <c r="AA14" s="33"/>
      <c r="AB14" s="40"/>
      <c r="AD14" s="136"/>
      <c r="AE14" s="9"/>
      <c r="AF14" s="9"/>
      <c r="AG14" s="9"/>
      <c r="AH14" s="9"/>
      <c r="AI14" s="9"/>
      <c r="AM14" s="42"/>
      <c r="AN14" s="42"/>
    </row>
    <row r="15" spans="1:40">
      <c r="A15" s="41" t="s">
        <v>45</v>
      </c>
      <c r="B15" s="41"/>
      <c r="C15" s="35">
        <v>708924</v>
      </c>
      <c r="D15" s="33">
        <f t="shared" si="0"/>
        <v>2.1999999999999999E-2</v>
      </c>
      <c r="E15" s="33">
        <f>'DHB Stats'!$K14*'DHB Stats'!Y40</f>
        <v>0.13069369460538746</v>
      </c>
      <c r="F15" s="33">
        <f t="shared" si="1"/>
        <v>2.1999999999999999E-2</v>
      </c>
      <c r="G15" s="33">
        <f>'DHB Stats'!$K14*'DHB Stats'!Z40</f>
        <v>0.16324425803796044</v>
      </c>
      <c r="H15" s="33">
        <f t="shared" si="2"/>
        <v>2.1999999999999999E-2</v>
      </c>
      <c r="I15" s="33">
        <f>'DHB Stats'!$K14*'DHB Stats'!AA40</f>
        <v>0.10541602982900146</v>
      </c>
      <c r="J15" s="33">
        <f t="shared" si="3"/>
        <v>2.4125583611243451E-2</v>
      </c>
      <c r="K15" s="33">
        <f>(1-'DHB Stats'!$K14)*'DHB Stats'!W40</f>
        <v>0.24019956241935084</v>
      </c>
      <c r="L15" s="33">
        <f t="shared" si="4"/>
        <v>0.02</v>
      </c>
      <c r="M15" s="33">
        <f>1-'DHB Stats'!W40</f>
        <v>0.36044645510829976</v>
      </c>
      <c r="N15" s="33"/>
      <c r="O15" s="33">
        <v>1.9620813540881077E-2</v>
      </c>
      <c r="P15" s="33">
        <f t="shared" si="5"/>
        <v>0</v>
      </c>
      <c r="Q15" s="33">
        <f t="shared" si="6"/>
        <v>0</v>
      </c>
      <c r="R15" s="33"/>
      <c r="S15" s="33"/>
      <c r="T15" s="33"/>
      <c r="U15" s="34">
        <f t="shared" si="8"/>
        <v>4.1838015962510688E-2</v>
      </c>
      <c r="V15" s="33"/>
      <c r="W15" s="35">
        <f>'Notes 2017-18 pre-Budget'!O27</f>
        <v>7000</v>
      </c>
      <c r="X15" s="35">
        <f t="shared" si="7"/>
        <v>745583.97362820688</v>
      </c>
      <c r="Y15" s="33"/>
      <c r="Z15" s="35">
        <f t="shared" si="9"/>
        <v>36659.973628206877</v>
      </c>
      <c r="AA15" s="33"/>
      <c r="AB15" s="40"/>
      <c r="AD15" s="136"/>
      <c r="AE15" s="9"/>
      <c r="AF15" s="9"/>
      <c r="AG15" s="9"/>
      <c r="AH15" s="9"/>
      <c r="AI15" s="9"/>
      <c r="AM15" s="42"/>
      <c r="AN15" s="42"/>
    </row>
    <row r="16" spans="1:40">
      <c r="A16" s="41" t="s">
        <v>46</v>
      </c>
      <c r="B16" s="41"/>
      <c r="C16" s="35">
        <v>1329104</v>
      </c>
      <c r="D16" s="33">
        <f t="shared" si="0"/>
        <v>2.1999999999999999E-2</v>
      </c>
      <c r="E16" s="33">
        <f>'DHB Stats'!$K15*'DHB Stats'!Y41</f>
        <v>0.11256394265160181</v>
      </c>
      <c r="F16" s="33">
        <f t="shared" si="1"/>
        <v>2.1999999999999999E-2</v>
      </c>
      <c r="G16" s="33">
        <f>'DHB Stats'!$K15*'DHB Stats'!Z41</f>
        <v>0.13255005158610156</v>
      </c>
      <c r="H16" s="33">
        <f t="shared" si="2"/>
        <v>2.1999999999999999E-2</v>
      </c>
      <c r="I16" s="33">
        <f>'DHB Stats'!$K15*'DHB Stats'!AA41</f>
        <v>0.10372341584906919</v>
      </c>
      <c r="J16" s="33">
        <f t="shared" si="3"/>
        <v>2.4125583611243451E-2</v>
      </c>
      <c r="K16" s="33">
        <f>(1-'DHB Stats'!$K15)*'DHB Stats'!W41</f>
        <v>0.28792387935301661</v>
      </c>
      <c r="L16" s="33">
        <f t="shared" si="4"/>
        <v>0.02</v>
      </c>
      <c r="M16" s="33">
        <f>1-'DHB Stats'!W41</f>
        <v>0.36323871056021084</v>
      </c>
      <c r="N16" s="33"/>
      <c r="O16" s="33">
        <v>2.830971208379518E-2</v>
      </c>
      <c r="P16" s="33">
        <f t="shared" si="5"/>
        <v>0</v>
      </c>
      <c r="Q16" s="33">
        <f t="shared" si="6"/>
        <v>0</v>
      </c>
      <c r="R16" s="33"/>
      <c r="S16" s="33"/>
      <c r="T16" s="33"/>
      <c r="U16" s="34">
        <f t="shared" si="8"/>
        <v>5.0814813962688277E-2</v>
      </c>
      <c r="V16" s="33"/>
      <c r="W16" s="35">
        <f>'Notes 2017-18 pre-Budget'!O28</f>
        <v>5200</v>
      </c>
      <c r="X16" s="35">
        <f t="shared" si="7"/>
        <v>1401842.1724970648</v>
      </c>
      <c r="Y16" s="33"/>
      <c r="Z16" s="35">
        <f t="shared" si="9"/>
        <v>72738.172497064807</v>
      </c>
      <c r="AA16" s="33"/>
      <c r="AB16" s="40"/>
      <c r="AD16" s="136"/>
      <c r="AE16" s="9"/>
      <c r="AF16" s="9"/>
      <c r="AG16" s="9"/>
      <c r="AH16" s="9"/>
      <c r="AI16" s="9"/>
      <c r="AM16" s="42"/>
      <c r="AN16" s="42"/>
    </row>
    <row r="17" spans="1:43">
      <c r="A17" s="41" t="s">
        <v>47</v>
      </c>
      <c r="B17" s="41"/>
      <c r="C17" s="35">
        <v>469504</v>
      </c>
      <c r="D17" s="33">
        <f t="shared" si="0"/>
        <v>2.1999999999999999E-2</v>
      </c>
      <c r="E17" s="33">
        <f>'DHB Stats'!$K16*'DHB Stats'!Y42</f>
        <v>0.10300548461545486</v>
      </c>
      <c r="F17" s="33">
        <f t="shared" si="1"/>
        <v>2.1999999999999999E-2</v>
      </c>
      <c r="G17" s="33">
        <f>'DHB Stats'!$K16*'DHB Stats'!Z42</f>
        <v>0.13891683862577531</v>
      </c>
      <c r="H17" s="33">
        <f t="shared" si="2"/>
        <v>2.1999999999999999E-2</v>
      </c>
      <c r="I17" s="33">
        <f>'DHB Stats'!$K16*'DHB Stats'!AA42</f>
        <v>0.12247900996847891</v>
      </c>
      <c r="J17" s="33">
        <f t="shared" si="3"/>
        <v>2.4125583611243451E-2</v>
      </c>
      <c r="K17" s="33">
        <f>(1-'DHB Stats'!$K16)*'DHB Stats'!W42</f>
        <v>0.29927828698363829</v>
      </c>
      <c r="L17" s="33">
        <f t="shared" si="4"/>
        <v>0.02</v>
      </c>
      <c r="M17" s="33">
        <f>1-'DHB Stats'!W42</f>
        <v>0.33632037980665264</v>
      </c>
      <c r="N17" s="33"/>
      <c r="O17" s="33">
        <v>1.9724480087498497E-2</v>
      </c>
      <c r="P17" s="33">
        <f t="shared" si="5"/>
        <v>0</v>
      </c>
      <c r="Q17" s="33">
        <f t="shared" si="6"/>
        <v>0</v>
      </c>
      <c r="R17" s="33"/>
      <c r="S17" s="33"/>
      <c r="T17" s="33"/>
      <c r="U17" s="34">
        <f t="shared" si="8"/>
        <v>4.2121198973476437E-2</v>
      </c>
      <c r="V17" s="33"/>
      <c r="W17" s="35">
        <f>'Notes 2017-18 pre-Budget'!O29</f>
        <v>900</v>
      </c>
      <c r="X17" s="35">
        <f t="shared" si="7"/>
        <v>490180.07140284305</v>
      </c>
      <c r="Y17" s="33"/>
      <c r="Z17" s="35">
        <f t="shared" si="9"/>
        <v>20676.071402843052</v>
      </c>
      <c r="AA17" s="33"/>
      <c r="AB17" s="40"/>
      <c r="AD17" s="136"/>
      <c r="AE17" s="9"/>
      <c r="AF17" s="9"/>
      <c r="AG17" s="9"/>
      <c r="AH17" s="9"/>
      <c r="AI17" s="9"/>
      <c r="AM17" s="42"/>
      <c r="AN17" s="42"/>
    </row>
    <row r="18" spans="1:43">
      <c r="A18" s="41" t="s">
        <v>48</v>
      </c>
      <c r="B18" s="41"/>
      <c r="C18" s="35">
        <v>375024</v>
      </c>
      <c r="D18" s="33">
        <f t="shared" si="0"/>
        <v>2.1999999999999999E-2</v>
      </c>
      <c r="E18" s="33">
        <f>'DHB Stats'!$K17*'DHB Stats'!Y43</f>
        <v>8.7052631517081314E-2</v>
      </c>
      <c r="F18" s="33">
        <f t="shared" si="1"/>
        <v>2.1999999999999999E-2</v>
      </c>
      <c r="G18" s="33">
        <f>'DHB Stats'!$K17*'DHB Stats'!Z43</f>
        <v>0.10538180715687892</v>
      </c>
      <c r="H18" s="33">
        <f t="shared" si="2"/>
        <v>2.1999999999999999E-2</v>
      </c>
      <c r="I18" s="33">
        <f>'DHB Stats'!$K17*'DHB Stats'!AA43</f>
        <v>9.5189964619716336E-2</v>
      </c>
      <c r="J18" s="33">
        <f t="shared" si="3"/>
        <v>2.4125583611243451E-2</v>
      </c>
      <c r="K18" s="33">
        <f>(1-'DHB Stats'!$K17)*'DHB Stats'!W43</f>
        <v>0.39458009890491896</v>
      </c>
      <c r="L18" s="33">
        <f t="shared" si="4"/>
        <v>0.02</v>
      </c>
      <c r="M18" s="33">
        <f>1-'DHB Stats'!W43</f>
        <v>0.31779549780140448</v>
      </c>
      <c r="N18" s="33"/>
      <c r="O18" s="33">
        <v>1.5663853167310116E-2</v>
      </c>
      <c r="P18" s="33">
        <f t="shared" si="5"/>
        <v>0</v>
      </c>
      <c r="Q18" s="33">
        <f t="shared" si="6"/>
        <v>0</v>
      </c>
      <c r="R18" s="33"/>
      <c r="S18" s="33"/>
      <c r="T18" s="33"/>
      <c r="U18" s="34">
        <f t="shared" si="8"/>
        <v>3.8214761606063075E-2</v>
      </c>
      <c r="V18" s="33"/>
      <c r="W18" s="35">
        <f>'Notes 2017-18 pre-Budget'!O30</f>
        <v>1200</v>
      </c>
      <c r="X18" s="35">
        <f t="shared" si="7"/>
        <v>390555.4527565522</v>
      </c>
      <c r="Y18" s="33"/>
      <c r="Z18" s="35">
        <f t="shared" si="9"/>
        <v>15531.4527565522</v>
      </c>
      <c r="AA18" s="33"/>
      <c r="AB18" s="40"/>
      <c r="AD18" s="136"/>
      <c r="AE18" s="9"/>
      <c r="AF18" s="9"/>
      <c r="AG18" s="9"/>
      <c r="AH18" s="9"/>
      <c r="AI18" s="9"/>
      <c r="AM18" s="42"/>
      <c r="AN18" s="42"/>
    </row>
    <row r="19" spans="1:43">
      <c r="A19" s="41" t="s">
        <v>49</v>
      </c>
      <c r="B19" s="41"/>
      <c r="C19" s="35">
        <v>300118</v>
      </c>
      <c r="D19" s="33">
        <f t="shared" si="0"/>
        <v>2.1999999999999999E-2</v>
      </c>
      <c r="E19" s="33">
        <f>'DHB Stats'!$K18*'DHB Stats'!Y44</f>
        <v>9.254949434445793E-2</v>
      </c>
      <c r="F19" s="33">
        <f t="shared" si="1"/>
        <v>2.1999999999999999E-2</v>
      </c>
      <c r="G19" s="33">
        <f>'DHB Stats'!$K18*'DHB Stats'!Z44</f>
        <v>0.11615678737675487</v>
      </c>
      <c r="H19" s="33">
        <f t="shared" si="2"/>
        <v>2.1999999999999999E-2</v>
      </c>
      <c r="I19" s="33">
        <f>'DHB Stats'!$K18*'DHB Stats'!AA44</f>
        <v>8.9417914656500161E-2</v>
      </c>
      <c r="J19" s="33">
        <f t="shared" si="3"/>
        <v>2.4125583611243451E-2</v>
      </c>
      <c r="K19" s="33">
        <f>(1-'DHB Stats'!$K18)*'DHB Stats'!W44</f>
        <v>0.31269360745705116</v>
      </c>
      <c r="L19" s="33">
        <f t="shared" si="4"/>
        <v>0.02</v>
      </c>
      <c r="M19" s="33">
        <f>1-'DHB Stats'!W44</f>
        <v>0.38918219616523586</v>
      </c>
      <c r="N19" s="33"/>
      <c r="O19" s="33">
        <v>1.9837784977402961E-2</v>
      </c>
      <c r="P19" s="33">
        <f t="shared" si="5"/>
        <v>0</v>
      </c>
      <c r="Q19" s="33">
        <f t="shared" si="6"/>
        <v>0</v>
      </c>
      <c r="R19" s="33"/>
      <c r="S19" s="33"/>
      <c r="T19" s="33"/>
      <c r="U19" s="34">
        <f t="shared" si="8"/>
        <v>4.2158252547370489E-2</v>
      </c>
      <c r="V19" s="33"/>
      <c r="W19" s="35">
        <f>'Notes 2017-18 pre-Budget'!O31</f>
        <v>900</v>
      </c>
      <c r="X19" s="35">
        <f t="shared" si="7"/>
        <v>313670.45043801173</v>
      </c>
      <c r="Y19" s="33"/>
      <c r="Z19" s="35">
        <f t="shared" si="9"/>
        <v>13552.450438011729</v>
      </c>
      <c r="AA19" s="33"/>
      <c r="AB19" s="40"/>
      <c r="AD19" s="136"/>
      <c r="AE19" s="9"/>
      <c r="AF19" s="9"/>
      <c r="AG19" s="9"/>
      <c r="AH19" s="9"/>
      <c r="AI19" s="9"/>
      <c r="AM19" s="42"/>
      <c r="AN19" s="42"/>
    </row>
    <row r="20" spans="1:43">
      <c r="A20" s="41" t="s">
        <v>50</v>
      </c>
      <c r="B20" s="41"/>
      <c r="C20" s="35">
        <v>484891</v>
      </c>
      <c r="D20" s="33">
        <f t="shared" si="0"/>
        <v>2.1999999999999999E-2</v>
      </c>
      <c r="E20" s="33">
        <f>'DHB Stats'!$K19*'DHB Stats'!Y45</f>
        <v>9.5400285232637466E-2</v>
      </c>
      <c r="F20" s="33">
        <f t="shared" si="1"/>
        <v>2.1999999999999999E-2</v>
      </c>
      <c r="G20" s="33">
        <f>'DHB Stats'!$K19*'DHB Stats'!Z45</f>
        <v>0.1183739979726407</v>
      </c>
      <c r="H20" s="33">
        <f t="shared" si="2"/>
        <v>2.1999999999999999E-2</v>
      </c>
      <c r="I20" s="33">
        <f>'DHB Stats'!$K19*'DHB Stats'!AA45</f>
        <v>7.6894669638101112E-2</v>
      </c>
      <c r="J20" s="33">
        <f t="shared" si="3"/>
        <v>2.4125583611243451E-2</v>
      </c>
      <c r="K20" s="33">
        <f>(1-'DHB Stats'!$K19)*'DHB Stats'!W45</f>
        <v>0.24979981435025306</v>
      </c>
      <c r="L20" s="33">
        <f t="shared" si="4"/>
        <v>0.02</v>
      </c>
      <c r="M20" s="33">
        <f>1-'DHB Stats'!W45</f>
        <v>0.45953123280636765</v>
      </c>
      <c r="N20" s="33"/>
      <c r="O20" s="33">
        <v>1.6020984224423662E-2</v>
      </c>
      <c r="P20" s="33">
        <f t="shared" si="5"/>
        <v>0</v>
      </c>
      <c r="Q20" s="33">
        <f t="shared" si="6"/>
        <v>0</v>
      </c>
      <c r="R20" s="33"/>
      <c r="S20" s="33"/>
      <c r="T20" s="33"/>
      <c r="U20" s="34">
        <f t="shared" si="8"/>
        <v>3.7979136186225393E-2</v>
      </c>
      <c r="V20" s="33"/>
      <c r="W20" s="35">
        <f>'Notes 2017-18 pre-Budget'!O32</f>
        <v>1000</v>
      </c>
      <c r="X20" s="35">
        <f t="shared" si="7"/>
        <v>504306.74132447504</v>
      </c>
      <c r="Y20" s="33"/>
      <c r="Z20" s="35">
        <f t="shared" si="9"/>
        <v>19415.741324475035</v>
      </c>
      <c r="AA20" s="33"/>
      <c r="AB20" s="38"/>
      <c r="AD20" s="136"/>
      <c r="AE20" s="9"/>
      <c r="AF20" s="9"/>
      <c r="AG20" s="9"/>
      <c r="AH20" s="9"/>
      <c r="AI20" s="9"/>
      <c r="AM20" s="42"/>
      <c r="AN20" s="42"/>
    </row>
    <row r="21" spans="1:43">
      <c r="A21" s="41" t="s">
        <v>51</v>
      </c>
      <c r="B21" s="41"/>
      <c r="C21" s="35">
        <v>405579</v>
      </c>
      <c r="D21" s="33">
        <f t="shared" si="0"/>
        <v>2.1999999999999999E-2</v>
      </c>
      <c r="E21" s="33">
        <f>'DHB Stats'!$K20*'DHB Stats'!Y46</f>
        <v>9.7874615382635463E-2</v>
      </c>
      <c r="F21" s="33">
        <f t="shared" si="1"/>
        <v>2.1999999999999999E-2</v>
      </c>
      <c r="G21" s="33">
        <f>'DHB Stats'!$K20*'DHB Stats'!Z46</f>
        <v>0.1140285046263074</v>
      </c>
      <c r="H21" s="33">
        <f t="shared" si="2"/>
        <v>2.1999999999999999E-2</v>
      </c>
      <c r="I21" s="33">
        <f>'DHB Stats'!$K20*'DHB Stats'!AA46</f>
        <v>0.1309028964244463</v>
      </c>
      <c r="J21" s="33">
        <f t="shared" si="3"/>
        <v>2.4125583611243451E-2</v>
      </c>
      <c r="K21" s="33">
        <f>(1-'DHB Stats'!$K20)*'DHB Stats'!W46</f>
        <v>0.29781614312706939</v>
      </c>
      <c r="L21" s="33">
        <f t="shared" si="4"/>
        <v>0.02</v>
      </c>
      <c r="M21" s="33">
        <f>1-'DHB Stats'!W46</f>
        <v>0.35937784043954146</v>
      </c>
      <c r="N21" s="33"/>
      <c r="O21" s="33">
        <v>2.3173456932748415E-2</v>
      </c>
      <c r="P21" s="33">
        <f t="shared" si="5"/>
        <v>0</v>
      </c>
      <c r="Q21" s="33">
        <f t="shared" si="6"/>
        <v>0</v>
      </c>
      <c r="R21" s="33"/>
      <c r="S21" s="33"/>
      <c r="T21" s="33"/>
      <c r="U21" s="34">
        <f t="shared" si="8"/>
        <v>4.559556392914943E-2</v>
      </c>
      <c r="V21" s="33"/>
      <c r="W21" s="35">
        <f>'Notes 2017-18 pre-Budget'!O33</f>
        <v>1200</v>
      </c>
      <c r="X21" s="35">
        <f t="shared" si="7"/>
        <v>425271.6032228205</v>
      </c>
      <c r="Y21" s="33"/>
      <c r="Z21" s="35">
        <f t="shared" si="9"/>
        <v>19692.6032228205</v>
      </c>
      <c r="AA21" s="33"/>
      <c r="AB21" s="9"/>
      <c r="AD21" s="136"/>
      <c r="AE21" s="9"/>
      <c r="AF21" s="9"/>
      <c r="AG21" s="9"/>
      <c r="AH21" s="9"/>
      <c r="AI21" s="9"/>
      <c r="AM21" s="42"/>
      <c r="AN21" s="42"/>
    </row>
    <row r="22" spans="1:43">
      <c r="A22" s="41" t="s">
        <v>52</v>
      </c>
      <c r="B22" s="41"/>
      <c r="C22" s="35">
        <v>539583</v>
      </c>
      <c r="D22" s="33">
        <f t="shared" si="0"/>
        <v>2.1999999999999999E-2</v>
      </c>
      <c r="E22" s="33">
        <f>'DHB Stats'!$K21*'DHB Stats'!Y47</f>
        <v>0.10133530560913219</v>
      </c>
      <c r="F22" s="33">
        <f t="shared" si="1"/>
        <v>2.1999999999999999E-2</v>
      </c>
      <c r="G22" s="33">
        <f>'DHB Stats'!$K21*'DHB Stats'!Z47</f>
        <v>0.13360706328235133</v>
      </c>
      <c r="H22" s="33">
        <f t="shared" si="2"/>
        <v>2.1999999999999999E-2</v>
      </c>
      <c r="I22" s="33">
        <f>'DHB Stats'!$K21*'DHB Stats'!AA47</f>
        <v>0.11076304937087149</v>
      </c>
      <c r="J22" s="33">
        <f t="shared" si="3"/>
        <v>2.4125583611243451E-2</v>
      </c>
      <c r="K22" s="33">
        <f>(1-'DHB Stats'!$K21)*'DHB Stats'!W47</f>
        <v>0.29680458501164453</v>
      </c>
      <c r="L22" s="33">
        <f t="shared" si="4"/>
        <v>0.02</v>
      </c>
      <c r="M22" s="33">
        <f>1-'DHB Stats'!W47</f>
        <v>0.35748999672600046</v>
      </c>
      <c r="N22" s="33"/>
      <c r="O22" s="33">
        <v>2.4523271635613408E-2</v>
      </c>
      <c r="P22" s="33">
        <f t="shared" si="5"/>
        <v>0</v>
      </c>
      <c r="Q22" s="33">
        <f t="shared" si="6"/>
        <v>0</v>
      </c>
      <c r="R22" s="33"/>
      <c r="S22" s="33"/>
      <c r="T22" s="33"/>
      <c r="U22" s="34">
        <f t="shared" si="8"/>
        <v>4.6976624245432808E-2</v>
      </c>
      <c r="V22" s="33"/>
      <c r="W22" s="35">
        <f>'Notes 2017-18 pre-Budget'!O34</f>
        <v>700</v>
      </c>
      <c r="X22" s="35">
        <f t="shared" si="7"/>
        <v>565630.78784022341</v>
      </c>
      <c r="Y22" s="33"/>
      <c r="Z22" s="35">
        <f t="shared" si="9"/>
        <v>26047.787840223406</v>
      </c>
      <c r="AA22" s="33"/>
      <c r="AB22" s="9"/>
      <c r="AD22" s="136"/>
      <c r="AE22" s="9"/>
      <c r="AF22" s="9"/>
      <c r="AG22" s="9"/>
      <c r="AH22" s="9"/>
      <c r="AI22" s="9"/>
      <c r="AM22" s="42"/>
      <c r="AN22" s="42"/>
    </row>
    <row r="23" spans="1:43">
      <c r="A23" s="41" t="s">
        <v>53</v>
      </c>
      <c r="B23" s="41"/>
      <c r="C23" s="35">
        <v>172374</v>
      </c>
      <c r="D23" s="33">
        <f t="shared" si="0"/>
        <v>2.1999999999999999E-2</v>
      </c>
      <c r="E23" s="33">
        <f>'DHB Stats'!$K23*'DHB Stats'!Y49</f>
        <v>8.6458482543772516E-2</v>
      </c>
      <c r="F23" s="33">
        <f t="shared" si="1"/>
        <v>2.1999999999999999E-2</v>
      </c>
      <c r="G23" s="33">
        <f>'DHB Stats'!$K23*'DHB Stats'!Z49</f>
        <v>0.13299546669369425</v>
      </c>
      <c r="H23" s="33">
        <f t="shared" si="2"/>
        <v>2.1999999999999999E-2</v>
      </c>
      <c r="I23" s="33">
        <f>'DHB Stats'!$K23*'DHB Stats'!AA49</f>
        <v>8.5658439042784265E-2</v>
      </c>
      <c r="J23" s="33">
        <f t="shared" si="3"/>
        <v>2.4125583611243451E-2</v>
      </c>
      <c r="K23" s="33">
        <f>(1-'DHB Stats'!$K23)*'DHB Stats'!W49</f>
        <v>0.3231216681158785</v>
      </c>
      <c r="L23" s="33">
        <f t="shared" si="4"/>
        <v>0.02</v>
      </c>
      <c r="M23" s="33">
        <f>1-'DHB Stats'!W49</f>
        <v>0.3717659436038705</v>
      </c>
      <c r="N23" s="33"/>
      <c r="O23" s="33">
        <v>1.842065457922315E-2</v>
      </c>
      <c r="P23" s="33">
        <f t="shared" si="5"/>
        <v>0</v>
      </c>
      <c r="Q23" s="33">
        <f t="shared" si="6"/>
        <v>0</v>
      </c>
      <c r="R23" s="33"/>
      <c r="S23" s="33"/>
      <c r="T23" s="33"/>
      <c r="U23" s="34">
        <f t="shared" si="8"/>
        <v>4.0768154583950444E-2</v>
      </c>
      <c r="V23" s="33"/>
      <c r="W23" s="35">
        <f>'Notes 2017-18 pre-Budget'!O35</f>
        <v>400</v>
      </c>
      <c r="X23" s="35">
        <f t="shared" si="7"/>
        <v>179801.36987825387</v>
      </c>
      <c r="Y23" s="33"/>
      <c r="Z23" s="35">
        <f t="shared" si="9"/>
        <v>7427.3698782538704</v>
      </c>
      <c r="AA23" s="33"/>
      <c r="AB23" s="9"/>
      <c r="AD23" s="136"/>
      <c r="AE23" s="9"/>
      <c r="AF23" s="9"/>
      <c r="AG23" s="9"/>
      <c r="AH23" s="9"/>
      <c r="AI23" s="9"/>
      <c r="AM23" s="42"/>
      <c r="AN23" s="42"/>
    </row>
    <row r="24" spans="1:43">
      <c r="A24" s="41" t="s">
        <v>54</v>
      </c>
      <c r="B24" s="41"/>
      <c r="C24" s="35">
        <v>822938</v>
      </c>
      <c r="D24" s="33">
        <f t="shared" si="0"/>
        <v>2.1999999999999999E-2</v>
      </c>
      <c r="E24" s="33">
        <f>'DHB Stats'!$K24*'DHB Stats'!Y50</f>
        <v>0.12317738989131008</v>
      </c>
      <c r="F24" s="33">
        <f t="shared" si="1"/>
        <v>2.1999999999999999E-2</v>
      </c>
      <c r="G24" s="33">
        <f>'DHB Stats'!$K24*'DHB Stats'!Z50</f>
        <v>0.1379041326967981</v>
      </c>
      <c r="H24" s="33">
        <f t="shared" si="2"/>
        <v>2.1999999999999999E-2</v>
      </c>
      <c r="I24" s="33">
        <f>'DHB Stats'!$K24*'DHB Stats'!AA50</f>
        <v>9.686736287332727E-2</v>
      </c>
      <c r="J24" s="33">
        <f t="shared" si="3"/>
        <v>2.4125583611243451E-2</v>
      </c>
      <c r="K24" s="33">
        <f>(1-'DHB Stats'!$K24)*'DHB Stats'!W50</f>
        <v>0.28435088788948087</v>
      </c>
      <c r="L24" s="33">
        <f t="shared" si="4"/>
        <v>0.02</v>
      </c>
      <c r="M24" s="33">
        <f>1-'DHB Stats'!W50</f>
        <v>0.35770022664908363</v>
      </c>
      <c r="N24" s="33"/>
      <c r="O24" s="33">
        <v>1.8085350858665139E-2</v>
      </c>
      <c r="P24" s="33">
        <f t="shared" si="5"/>
        <v>0</v>
      </c>
      <c r="Q24" s="33">
        <f t="shared" si="6"/>
        <v>0</v>
      </c>
      <c r="R24" s="33"/>
      <c r="S24" s="33"/>
      <c r="T24" s="33"/>
      <c r="U24" s="34">
        <f t="shared" si="8"/>
        <v>4.0370232438811993E-2</v>
      </c>
      <c r="V24" s="33"/>
      <c r="W24" s="35">
        <f>'Notes 2017-18 pre-Budget'!O36</f>
        <v>2200</v>
      </c>
      <c r="X24" s="35">
        <f t="shared" si="7"/>
        <v>858360.19834273111</v>
      </c>
      <c r="Y24" s="33"/>
      <c r="Z24" s="35">
        <f t="shared" si="9"/>
        <v>35422.198342731106</v>
      </c>
      <c r="AA24" s="33"/>
      <c r="AB24" s="9"/>
      <c r="AD24" s="136"/>
      <c r="AE24" s="9"/>
      <c r="AF24" s="9"/>
      <c r="AG24" s="9"/>
      <c r="AH24" s="9"/>
      <c r="AI24" s="9"/>
      <c r="AM24" s="42"/>
      <c r="AN24" s="42"/>
    </row>
    <row r="25" spans="1:43">
      <c r="A25" s="41" t="s">
        <v>55</v>
      </c>
      <c r="B25" s="41"/>
      <c r="C25" s="35">
        <v>154899</v>
      </c>
      <c r="D25" s="33">
        <f t="shared" si="0"/>
        <v>2.1999999999999999E-2</v>
      </c>
      <c r="E25" s="33">
        <f>'DHB Stats'!$K26*'DHB Stats'!Y52</f>
        <v>0.10791973156490399</v>
      </c>
      <c r="F25" s="33">
        <f t="shared" si="1"/>
        <v>2.1999999999999999E-2</v>
      </c>
      <c r="G25" s="33">
        <f>'DHB Stats'!$K26*'DHB Stats'!Z52</f>
        <v>0.12802735157848383</v>
      </c>
      <c r="H25" s="33">
        <f t="shared" si="2"/>
        <v>2.1999999999999999E-2</v>
      </c>
      <c r="I25" s="33">
        <f>'DHB Stats'!$K26*'DHB Stats'!AA52</f>
        <v>0.10282654537131851</v>
      </c>
      <c r="J25" s="33">
        <f t="shared" si="3"/>
        <v>2.4125583611243451E-2</v>
      </c>
      <c r="K25" s="33">
        <f>(1-'DHB Stats'!$K26)*'DHB Stats'!W52</f>
        <v>0.30502584378080816</v>
      </c>
      <c r="L25" s="33">
        <f t="shared" si="4"/>
        <v>0.02</v>
      </c>
      <c r="M25" s="33">
        <f>1-'DHB Stats'!W52</f>
        <v>0.35620052770448551</v>
      </c>
      <c r="N25" s="33"/>
      <c r="O25" s="33">
        <v>1.9846409274716148E-2</v>
      </c>
      <c r="P25" s="33">
        <f t="shared" si="5"/>
        <v>0</v>
      </c>
      <c r="Q25" s="33">
        <f t="shared" si="6"/>
        <v>0</v>
      </c>
      <c r="R25" s="33"/>
      <c r="S25" s="33"/>
      <c r="T25" s="33"/>
      <c r="U25" s="34">
        <f t="shared" si="8"/>
        <v>4.2217716131909278E-2</v>
      </c>
      <c r="V25" s="33"/>
      <c r="W25" s="35">
        <f>'Notes 2017-18 pre-Budget'!O37</f>
        <v>200</v>
      </c>
      <c r="X25" s="35">
        <f t="shared" si="7"/>
        <v>161638.4820111166</v>
      </c>
      <c r="Y25" s="33"/>
      <c r="Z25" s="35">
        <f t="shared" si="9"/>
        <v>6739.4820111166046</v>
      </c>
      <c r="AA25" s="33"/>
      <c r="AB25" s="9"/>
      <c r="AD25" s="136"/>
      <c r="AE25" s="9"/>
      <c r="AF25" s="9"/>
      <c r="AG25" s="9"/>
      <c r="AH25" s="9"/>
      <c r="AI25" s="9"/>
      <c r="AM25" s="42"/>
      <c r="AN25" s="42"/>
    </row>
    <row r="26" spans="1:43">
      <c r="A26" s="41" t="s">
        <v>56</v>
      </c>
      <c r="B26" s="41"/>
      <c r="C26" s="35">
        <v>327231</v>
      </c>
      <c r="D26" s="33">
        <f t="shared" si="0"/>
        <v>2.1999999999999999E-2</v>
      </c>
      <c r="E26" s="33">
        <f>'DHB Stats'!$K27*'DHB Stats'!Y53</f>
        <v>9.0376985486367981E-2</v>
      </c>
      <c r="F26" s="33">
        <f t="shared" si="1"/>
        <v>2.1999999999999999E-2</v>
      </c>
      <c r="G26" s="33">
        <f>'DHB Stats'!$K27*'DHB Stats'!Z53</f>
        <v>0.12446066452730871</v>
      </c>
      <c r="H26" s="33">
        <f t="shared" si="2"/>
        <v>2.1999999999999999E-2</v>
      </c>
      <c r="I26" s="33">
        <f>'DHB Stats'!$K27*'DHB Stats'!AA53</f>
        <v>0.11138361964572288</v>
      </c>
      <c r="J26" s="33">
        <f t="shared" si="3"/>
        <v>2.4125583611243451E-2</v>
      </c>
      <c r="K26" s="33">
        <f>(1-'DHB Stats'!$K27)*'DHB Stats'!W53</f>
        <v>0.29172654303116752</v>
      </c>
      <c r="L26" s="33">
        <f t="shared" si="4"/>
        <v>0.02</v>
      </c>
      <c r="M26" s="33">
        <f>1-'DHB Stats'!W53</f>
        <v>0.38205218730943291</v>
      </c>
      <c r="N26" s="33"/>
      <c r="O26" s="33">
        <v>1.9548326008591355E-2</v>
      </c>
      <c r="P26" s="33">
        <f t="shared" si="5"/>
        <v>0</v>
      </c>
      <c r="Q26" s="33">
        <f t="shared" si="6"/>
        <v>0</v>
      </c>
      <c r="R26" s="33"/>
      <c r="S26" s="33"/>
      <c r="T26" s="33"/>
      <c r="U26" s="34">
        <f t="shared" si="8"/>
        <v>4.1831558708604888E-2</v>
      </c>
      <c r="V26" s="33"/>
      <c r="W26" s="35">
        <f>'Notes 2017-18 pre-Budget'!O38</f>
        <v>2100</v>
      </c>
      <c r="X26" s="35">
        <f t="shared" si="7"/>
        <v>343019.58278777549</v>
      </c>
      <c r="Y26" s="33"/>
      <c r="Z26" s="35">
        <f t="shared" si="9"/>
        <v>15788.582787775493</v>
      </c>
      <c r="AA26" s="33"/>
      <c r="AB26" s="9"/>
      <c r="AD26" s="136"/>
      <c r="AE26" s="9"/>
      <c r="AF26" s="9"/>
      <c r="AG26" s="9"/>
      <c r="AH26" s="9"/>
      <c r="AI26" s="9"/>
      <c r="AJ26" s="9"/>
      <c r="AK26" s="9"/>
      <c r="AL26" s="9"/>
      <c r="AM26" s="42"/>
      <c r="AN26" s="42"/>
      <c r="AO26" s="9"/>
      <c r="AP26" s="9"/>
      <c r="AQ26" s="9"/>
    </row>
    <row r="27" spans="1:43">
      <c r="A27" s="41" t="s">
        <v>57</v>
      </c>
      <c r="B27" s="41"/>
      <c r="C27" s="35">
        <v>1096798</v>
      </c>
      <c r="D27" s="33">
        <f t="shared" si="0"/>
        <v>2.1999999999999999E-2</v>
      </c>
      <c r="E27" s="33">
        <f>'DHB Stats'!$K28*'DHB Stats'!Y54</f>
        <v>0.11426027545180367</v>
      </c>
      <c r="F27" s="33">
        <f t="shared" si="1"/>
        <v>2.1999999999999999E-2</v>
      </c>
      <c r="G27" s="33">
        <f>'DHB Stats'!$K28*'DHB Stats'!Z54</f>
        <v>0.14473114215086813</v>
      </c>
      <c r="H27" s="33">
        <f t="shared" si="2"/>
        <v>2.1999999999999999E-2</v>
      </c>
      <c r="I27" s="33">
        <f>'DHB Stats'!$K28*'DHB Stats'!AA54</f>
        <v>0.11606528883959896</v>
      </c>
      <c r="J27" s="33">
        <f t="shared" si="3"/>
        <v>2.4125583611243451E-2</v>
      </c>
      <c r="K27" s="33">
        <f>(1-'DHB Stats'!$K28)*'DHB Stats'!W54</f>
        <v>0.22807969694812635</v>
      </c>
      <c r="L27" s="33">
        <f t="shared" si="4"/>
        <v>0.02</v>
      </c>
      <c r="M27" s="33">
        <f>1-'DHB Stats'!W54</f>
        <v>0.39686359660960291</v>
      </c>
      <c r="N27" s="33"/>
      <c r="O27" s="33">
        <v>2.7068691343653528E-2</v>
      </c>
      <c r="P27" s="33">
        <f t="shared" si="5"/>
        <v>0</v>
      </c>
      <c r="Q27" s="33">
        <f t="shared" si="6"/>
        <v>0</v>
      </c>
      <c r="R27" s="33"/>
      <c r="S27" s="33"/>
      <c r="T27" s="33"/>
      <c r="U27" s="34">
        <f t="shared" si="8"/>
        <v>4.934691563779281E-2</v>
      </c>
      <c r="V27" s="33"/>
      <c r="W27" s="35">
        <f>'Notes 2017-18 pre-Budget'!O39</f>
        <v>4900</v>
      </c>
      <c r="X27" s="35">
        <f t="shared" si="7"/>
        <v>1155821.5983777</v>
      </c>
      <c r="Y27" s="43"/>
      <c r="Z27" s="35">
        <f t="shared" si="9"/>
        <v>59023.598377699964</v>
      </c>
      <c r="AA27" s="43"/>
      <c r="AB27" s="9"/>
      <c r="AD27" s="136"/>
      <c r="AE27" s="9"/>
      <c r="AF27" s="9"/>
      <c r="AG27" s="9"/>
      <c r="AH27" s="9"/>
      <c r="AI27" s="9"/>
      <c r="AJ27" s="9"/>
      <c r="AK27" s="9"/>
      <c r="AL27" s="9"/>
      <c r="AM27" s="42"/>
      <c r="AN27" s="42"/>
      <c r="AO27" s="9"/>
      <c r="AP27" s="9"/>
      <c r="AQ27" s="9"/>
    </row>
    <row r="28" spans="1:43">
      <c r="A28" s="41" t="s">
        <v>58</v>
      </c>
      <c r="B28" s="41"/>
      <c r="C28" s="35">
        <v>131668</v>
      </c>
      <c r="D28" s="33">
        <f t="shared" si="0"/>
        <v>2.1999999999999999E-2</v>
      </c>
      <c r="E28" s="33">
        <f>'DHB Stats'!$K29*'DHB Stats'!Y55</f>
        <v>6.5993428918917948E-2</v>
      </c>
      <c r="F28" s="33">
        <f t="shared" si="1"/>
        <v>2.1999999999999999E-2</v>
      </c>
      <c r="G28" s="33">
        <f>'DHB Stats'!$K29*'DHB Stats'!Z55</f>
        <v>0.12024771267613418</v>
      </c>
      <c r="H28" s="33">
        <f t="shared" si="2"/>
        <v>2.1999999999999999E-2</v>
      </c>
      <c r="I28" s="33">
        <f>'DHB Stats'!$K29*'DHB Stats'!AA55</f>
        <v>6.5313992872123958E-2</v>
      </c>
      <c r="J28" s="33">
        <f t="shared" si="3"/>
        <v>2.4125583611243451E-2</v>
      </c>
      <c r="K28" s="33">
        <f>(1-'DHB Stats'!$K29)*'DHB Stats'!W55</f>
        <v>0.33166258983155206</v>
      </c>
      <c r="L28" s="33">
        <f t="shared" si="4"/>
        <v>0.02</v>
      </c>
      <c r="M28" s="33">
        <f>1-'DHB Stats'!W55</f>
        <v>0.41678227570127191</v>
      </c>
      <c r="N28" s="33"/>
      <c r="O28" s="33">
        <v>1.8394439921482375E-2</v>
      </c>
      <c r="P28" s="33">
        <f t="shared" si="5"/>
        <v>0</v>
      </c>
      <c r="Q28" s="33">
        <f t="shared" si="6"/>
        <v>0</v>
      </c>
      <c r="R28" s="33"/>
      <c r="S28" s="33"/>
      <c r="T28" s="33"/>
      <c r="U28" s="34">
        <f t="shared" si="8"/>
        <v>4.0668164309777932E-2</v>
      </c>
      <c r="V28" s="33"/>
      <c r="W28" s="35">
        <f>'Notes 2017-18 pre-Budget'!O40</f>
        <v>700</v>
      </c>
      <c r="X28" s="35">
        <f t="shared" si="7"/>
        <v>137722.69585833984</v>
      </c>
      <c r="Y28" s="43"/>
      <c r="Z28" s="35">
        <f t="shared" si="9"/>
        <v>6054.6958583398373</v>
      </c>
      <c r="AA28" s="43"/>
      <c r="AB28" s="9"/>
      <c r="AD28" s="136"/>
      <c r="AE28" s="9"/>
      <c r="AF28" s="9"/>
      <c r="AG28" s="9"/>
      <c r="AH28" s="9"/>
      <c r="AI28" s="9"/>
      <c r="AJ28" s="9"/>
      <c r="AK28" s="9"/>
      <c r="AL28" s="9"/>
      <c r="AM28" s="42"/>
      <c r="AN28" s="42"/>
      <c r="AO28" s="9"/>
      <c r="AP28" s="9"/>
      <c r="AQ28" s="9"/>
    </row>
    <row r="29" spans="1:43">
      <c r="A29" s="41" t="s">
        <v>59</v>
      </c>
      <c r="B29" s="41"/>
      <c r="C29" s="35">
        <v>1399525</v>
      </c>
      <c r="D29" s="33">
        <f t="shared" si="0"/>
        <v>2.1999999999999999E-2</v>
      </c>
      <c r="E29" s="33">
        <f>'DHB Stats'!$K30*'DHB Stats'!Y56</f>
        <v>0.10124771069895672</v>
      </c>
      <c r="F29" s="33">
        <f t="shared" si="1"/>
        <v>2.1999999999999999E-2</v>
      </c>
      <c r="G29" s="33">
        <f>'DHB Stats'!$K30*'DHB Stats'!Z56</f>
        <v>0.13515138302796556</v>
      </c>
      <c r="H29" s="33">
        <f t="shared" si="2"/>
        <v>2.1999999999999999E-2</v>
      </c>
      <c r="I29" s="33">
        <f>'DHB Stats'!$K30*'DHB Stats'!AA56</f>
        <v>0.11052010794987041</v>
      </c>
      <c r="J29" s="33">
        <f t="shared" si="3"/>
        <v>2.4125583611243451E-2</v>
      </c>
      <c r="K29" s="33">
        <f>(1-'DHB Stats'!$K30)*'DHB Stats'!W56</f>
        <v>0.31612510715605691</v>
      </c>
      <c r="L29" s="33">
        <f t="shared" si="4"/>
        <v>0.02</v>
      </c>
      <c r="M29" s="33">
        <f>1-'DHB Stats'!W56</f>
        <v>0.33695569116715041</v>
      </c>
      <c r="N29" s="33"/>
      <c r="O29" s="33">
        <v>3.3717928830837574E-2</v>
      </c>
      <c r="P29" s="33">
        <f t="shared" si="5"/>
        <v>0</v>
      </c>
      <c r="Q29" s="33">
        <f t="shared" si="6"/>
        <v>0</v>
      </c>
      <c r="R29" s="33"/>
      <c r="S29" s="33"/>
      <c r="T29" s="33"/>
      <c r="U29" s="34">
        <f t="shared" si="8"/>
        <v>5.6457696107601096E-2</v>
      </c>
      <c r="V29" s="33"/>
      <c r="W29" s="35">
        <f>'Notes 2017-18 pre-Budget'!O41</f>
        <v>6300</v>
      </c>
      <c r="X29" s="35">
        <f t="shared" si="7"/>
        <v>1484838.9571449903</v>
      </c>
      <c r="Y29" s="43"/>
      <c r="Z29" s="35">
        <f t="shared" si="9"/>
        <v>85313.957144990331</v>
      </c>
      <c r="AA29" s="43"/>
      <c r="AB29" s="9"/>
      <c r="AD29" s="136"/>
      <c r="AE29" s="9"/>
      <c r="AF29" s="9"/>
      <c r="AG29" s="9"/>
      <c r="AH29" s="9"/>
      <c r="AI29" s="9"/>
      <c r="AJ29" s="9"/>
      <c r="AK29" s="9"/>
      <c r="AL29" s="9"/>
      <c r="AM29" s="42"/>
      <c r="AN29" s="42"/>
      <c r="AO29" s="9"/>
      <c r="AP29" s="9"/>
      <c r="AQ29" s="9"/>
    </row>
    <row r="30" spans="1:43">
      <c r="A30" s="41" t="s">
        <v>60</v>
      </c>
      <c r="B30" s="41"/>
      <c r="C30" s="35">
        <v>125017</v>
      </c>
      <c r="D30" s="33">
        <f t="shared" si="0"/>
        <v>2.1999999999999999E-2</v>
      </c>
      <c r="E30" s="33">
        <f>'DHB Stats'!$K31*'DHB Stats'!Y57</f>
        <v>6.9733943624378444E-2</v>
      </c>
      <c r="F30" s="33">
        <f t="shared" si="1"/>
        <v>2.1999999999999999E-2</v>
      </c>
      <c r="G30" s="33">
        <f>'DHB Stats'!$K31*'DHB Stats'!Z57</f>
        <v>0.17426092456819034</v>
      </c>
      <c r="H30" s="33">
        <f t="shared" si="2"/>
        <v>2.1999999999999999E-2</v>
      </c>
      <c r="I30" s="33">
        <f>'DHB Stats'!$K31*'DHB Stats'!AA57</f>
        <v>0.11423574586749004</v>
      </c>
      <c r="J30" s="33">
        <f t="shared" si="3"/>
        <v>2.4125583611243451E-2</v>
      </c>
      <c r="K30" s="33">
        <f>(1-'DHB Stats'!$K31)*'DHB Stats'!W57</f>
        <v>0.26421035069991639</v>
      </c>
      <c r="L30" s="33">
        <f t="shared" si="4"/>
        <v>0.02</v>
      </c>
      <c r="M30" s="33">
        <f>1-'DHB Stats'!W57</f>
        <v>0.37755903524002477</v>
      </c>
      <c r="N30" s="33"/>
      <c r="O30" s="33">
        <v>1.3621410640934917E-2</v>
      </c>
      <c r="P30" s="33">
        <f t="shared" si="5"/>
        <v>0</v>
      </c>
      <c r="Q30" s="33">
        <f t="shared" si="6"/>
        <v>0</v>
      </c>
      <c r="R30" s="33"/>
      <c r="S30" s="33"/>
      <c r="T30" s="33"/>
      <c r="U30" s="34">
        <f t="shared" si="8"/>
        <v>3.5724928823047675E-2</v>
      </c>
      <c r="V30" s="33"/>
      <c r="W30" s="35">
        <f>'Notes 2017-18 pre-Budget'!O42</f>
        <v>300</v>
      </c>
      <c r="X30" s="35">
        <f t="shared" si="7"/>
        <v>129783.22342667096</v>
      </c>
      <c r="Y30" s="43"/>
      <c r="Z30" s="35">
        <f t="shared" si="9"/>
        <v>4766.2234266709565</v>
      </c>
      <c r="AA30" s="43"/>
      <c r="AB30" s="9"/>
      <c r="AD30" s="136"/>
      <c r="AE30" s="9"/>
      <c r="AF30" s="9"/>
      <c r="AG30" s="9"/>
      <c r="AH30" s="9"/>
      <c r="AI30" s="9"/>
      <c r="AJ30" s="9"/>
      <c r="AK30" s="9"/>
      <c r="AL30" s="9"/>
      <c r="AM30" s="42"/>
      <c r="AN30" s="42"/>
      <c r="AO30" s="9"/>
      <c r="AP30" s="9"/>
      <c r="AQ30" s="9"/>
    </row>
    <row r="31" spans="1:43">
      <c r="A31" s="44" t="s">
        <v>61</v>
      </c>
      <c r="B31" s="44"/>
      <c r="C31" s="45">
        <v>211894</v>
      </c>
      <c r="D31" s="46">
        <f t="shared" si="0"/>
        <v>2.1999999999999999E-2</v>
      </c>
      <c r="E31" s="46">
        <f>'DHB Stats'!$K32*'DHB Stats'!Y58</f>
        <v>8.5017267342793149E-2</v>
      </c>
      <c r="F31" s="46">
        <f t="shared" si="1"/>
        <v>2.1999999999999999E-2</v>
      </c>
      <c r="G31" s="46">
        <f>'DHB Stats'!$K32*'DHB Stats'!Z58</f>
        <v>0.13507471404150637</v>
      </c>
      <c r="H31" s="46">
        <f t="shared" si="2"/>
        <v>2.1999999999999999E-2</v>
      </c>
      <c r="I31" s="46">
        <f>'DHB Stats'!$K32*'DHB Stats'!AA58</f>
        <v>8.415439272625215E-2</v>
      </c>
      <c r="J31" s="46">
        <f t="shared" si="3"/>
        <v>2.4125583611243451E-2</v>
      </c>
      <c r="K31" s="46">
        <f>(1-'DHB Stats'!$K32)*'DHB Stats'!W58</f>
        <v>0.31047852220443417</v>
      </c>
      <c r="L31" s="46">
        <f t="shared" si="4"/>
        <v>0.02</v>
      </c>
      <c r="M31" s="46">
        <f>1-'DHB Stats'!W58</f>
        <v>0.38527510368501416</v>
      </c>
      <c r="N31" s="46"/>
      <c r="O31" s="46">
        <v>1.358474306779156E-2</v>
      </c>
      <c r="P31" s="46">
        <f t="shared" si="5"/>
        <v>0</v>
      </c>
      <c r="Q31" s="46">
        <f t="shared" si="6"/>
        <v>0</v>
      </c>
      <c r="R31" s="46"/>
      <c r="S31" s="46"/>
      <c r="T31" s="46"/>
      <c r="U31" s="47">
        <f t="shared" si="8"/>
        <v>3.5771502764577745E-2</v>
      </c>
      <c r="V31" s="46"/>
      <c r="W31" s="45">
        <f>'Notes 2017-18 pre-Budget'!O43</f>
        <v>700</v>
      </c>
      <c r="X31" s="45">
        <f t="shared" si="7"/>
        <v>220173.76680679744</v>
      </c>
      <c r="Y31" s="48"/>
      <c r="Z31" s="45">
        <f t="shared" si="9"/>
        <v>8279.7668067974446</v>
      </c>
      <c r="AA31" s="49"/>
      <c r="AB31" s="9"/>
      <c r="AD31" s="136"/>
      <c r="AE31" s="9"/>
      <c r="AF31" s="9"/>
      <c r="AG31" s="9"/>
      <c r="AH31" s="9"/>
      <c r="AI31" s="9"/>
      <c r="AJ31" s="9"/>
      <c r="AK31" s="9"/>
      <c r="AL31" s="9"/>
      <c r="AM31" s="42"/>
      <c r="AN31" s="42"/>
      <c r="AO31" s="9"/>
      <c r="AP31" s="9"/>
      <c r="AQ31" s="9"/>
    </row>
    <row r="32" spans="1:43">
      <c r="A32" s="50" t="s">
        <v>62</v>
      </c>
      <c r="C32" s="32">
        <f>SUM(C12:C31)</f>
        <v>12219915</v>
      </c>
      <c r="D32" s="51">
        <f t="shared" si="0"/>
        <v>2.1999999999999999E-2</v>
      </c>
      <c r="E32" s="51">
        <f>MedicalProportion17</f>
        <v>0.11182936830646191</v>
      </c>
      <c r="F32" s="51">
        <f t="shared" si="1"/>
        <v>2.1999999999999999E-2</v>
      </c>
      <c r="G32" s="51">
        <f>NursingProportion17</f>
        <v>0.13567632527670975</v>
      </c>
      <c r="H32" s="51">
        <f t="shared" si="2"/>
        <v>2.1999999999999999E-2</v>
      </c>
      <c r="I32" s="51">
        <f>OtherWageProportion17</f>
        <v>0.10648606226539337</v>
      </c>
      <c r="J32" s="51">
        <f t="shared" si="3"/>
        <v>2.4125583611243451E-2</v>
      </c>
      <c r="K32" s="51">
        <f>DHBFundedProportion17</f>
        <v>0.27605677640120929</v>
      </c>
      <c r="L32" s="51">
        <f t="shared" si="4"/>
        <v>0.02</v>
      </c>
      <c r="M32" s="51">
        <f>NonLabourProportion17</f>
        <v>0.36995146775022569</v>
      </c>
      <c r="N32" s="33"/>
      <c r="O32" s="51">
        <f>PopulationGrowth17</f>
        <v>2.510707935360923E-2</v>
      </c>
      <c r="P32" s="51">
        <f t="shared" si="5"/>
        <v>0</v>
      </c>
      <c r="Q32" s="51">
        <f t="shared" si="6"/>
        <v>0</v>
      </c>
      <c r="R32" s="51"/>
      <c r="S32" s="51"/>
      <c r="T32" s="51"/>
      <c r="U32" s="51">
        <f>((1+D32)*E32+(1+F32)*G32+(1+H32)*I32+(1+J32)*K32+(1+L32+N32)*M32)*(1+O32)*(1+P32)*(1-Q32)+R32*(1+S32)-1</f>
        <v>4.750246949806769E-2</v>
      </c>
      <c r="V32" s="6"/>
      <c r="W32" s="52">
        <f t="array" ref="W32">SUM(IF($B$86:$B$93="DHBs",$C$86:$C$93,0))</f>
        <v>64900</v>
      </c>
      <c r="X32" s="32">
        <f>SUM(X12:X31)-SUM(W12:W31)+W32</f>
        <v>12865050.934947748</v>
      </c>
      <c r="Y32" s="32">
        <f>X32</f>
        <v>12865050.934947748</v>
      </c>
      <c r="Z32" s="32">
        <f>X32-C32</f>
        <v>645135.93494774774</v>
      </c>
      <c r="AA32" s="32"/>
      <c r="AB32" s="9"/>
      <c r="AC32" s="9"/>
      <c r="AD32" s="9"/>
      <c r="AE32" s="9"/>
      <c r="AF32" s="9"/>
      <c r="AG32" s="9"/>
      <c r="AH32" s="9"/>
      <c r="AI32" s="9"/>
      <c r="AJ32" s="9"/>
      <c r="AK32" s="9"/>
      <c r="AL32" s="9"/>
      <c r="AM32" s="9"/>
      <c r="AN32" s="9"/>
      <c r="AO32" s="9"/>
      <c r="AP32" s="9"/>
      <c r="AQ32" s="9"/>
    </row>
    <row r="33" spans="1:43">
      <c r="A33" s="39"/>
      <c r="B33" s="6"/>
      <c r="C33" s="37"/>
      <c r="D33" s="33"/>
      <c r="E33" s="33"/>
      <c r="F33" s="33"/>
      <c r="G33" s="33"/>
      <c r="H33" s="33"/>
      <c r="I33" s="33"/>
      <c r="J33" s="33"/>
      <c r="K33" s="33"/>
      <c r="L33" s="33"/>
      <c r="M33" s="33"/>
      <c r="N33" s="33"/>
      <c r="O33" s="33"/>
      <c r="P33" s="33"/>
      <c r="Q33" s="33"/>
      <c r="R33" s="33"/>
      <c r="S33" s="33"/>
      <c r="T33" s="33"/>
      <c r="U33" s="34"/>
      <c r="V33" s="53" t="s">
        <v>63</v>
      </c>
      <c r="X33" s="54">
        <f>X32-W32</f>
        <v>12800150.934947748</v>
      </c>
      <c r="Y33" s="36" t="s">
        <v>64</v>
      </c>
      <c r="Z33" s="55">
        <f>Z32/C32</f>
        <v>5.2793815255486452E-2</v>
      </c>
      <c r="AA33" s="9"/>
      <c r="AB33" s="9"/>
      <c r="AC33" s="9"/>
      <c r="AD33" s="9"/>
      <c r="AE33" s="9"/>
      <c r="AF33" s="9"/>
      <c r="AG33" s="9"/>
      <c r="AH33" s="9"/>
      <c r="AI33" s="9"/>
      <c r="AJ33" s="9"/>
      <c r="AK33" s="9"/>
      <c r="AL33" s="9"/>
      <c r="AM33" s="9"/>
      <c r="AN33" s="9"/>
      <c r="AO33" s="9"/>
      <c r="AP33" s="9"/>
      <c r="AQ33" s="9"/>
    </row>
    <row r="34" spans="1:43">
      <c r="A34" s="50"/>
      <c r="B34" s="32"/>
      <c r="C34" s="37"/>
      <c r="D34" s="33"/>
      <c r="E34" s="33"/>
      <c r="F34" s="33"/>
      <c r="G34" s="33"/>
      <c r="H34" s="33"/>
      <c r="I34" s="33"/>
      <c r="J34" s="33"/>
      <c r="K34" s="33"/>
      <c r="L34" s="33"/>
      <c r="M34" s="33"/>
      <c r="N34" s="33"/>
      <c r="O34" s="33"/>
      <c r="P34" s="33"/>
      <c r="Q34" s="33"/>
      <c r="R34" s="33"/>
      <c r="S34" s="33"/>
      <c r="T34" s="33"/>
      <c r="U34" s="33"/>
      <c r="V34" s="56" t="s">
        <v>64</v>
      </c>
      <c r="W34" s="1"/>
      <c r="X34" s="54">
        <f>X33-C32</f>
        <v>580235.93494774774</v>
      </c>
      <c r="Y34" s="36" t="s">
        <v>64</v>
      </c>
      <c r="Z34" s="55">
        <f>X34/C32</f>
        <v>4.7482812683046299E-2</v>
      </c>
      <c r="AB34" s="9"/>
      <c r="AC34" s="9"/>
      <c r="AD34" s="9"/>
      <c r="AE34" s="9"/>
      <c r="AF34" s="9"/>
      <c r="AG34" s="9"/>
      <c r="AH34" s="9"/>
      <c r="AI34" s="9"/>
      <c r="AJ34" s="9"/>
      <c r="AK34" s="9"/>
      <c r="AL34" s="9"/>
      <c r="AM34" s="9"/>
      <c r="AN34" s="9"/>
      <c r="AO34" s="9"/>
      <c r="AP34" s="9"/>
      <c r="AQ34" s="9"/>
    </row>
    <row r="35" spans="1:43">
      <c r="A35" s="39" t="s">
        <v>65</v>
      </c>
      <c r="B35" s="39"/>
      <c r="C35" s="35">
        <v>180014</v>
      </c>
      <c r="D35" s="33"/>
      <c r="E35" s="33"/>
      <c r="F35" s="33"/>
      <c r="G35" s="33"/>
      <c r="H35" s="33"/>
      <c r="I35" s="33"/>
      <c r="J35" s="33">
        <f>AllIndustriesWageIncr17</f>
        <v>2.1999999999999999E-2</v>
      </c>
      <c r="K35" s="33">
        <f t="shared" ref="K35:K49" si="10">LabourProportion17</f>
        <v>0.63004853224977431</v>
      </c>
      <c r="L35" s="33"/>
      <c r="M35" s="33">
        <f t="shared" ref="M35:M49" si="11">NonLabourProportion17</f>
        <v>0.36995146775022569</v>
      </c>
      <c r="N35" s="33">
        <f t="shared" ref="N35:N49" si="12">NonLabourGeneralCostIncreases17</f>
        <v>0.02</v>
      </c>
      <c r="O35" s="33"/>
      <c r="P35" s="33">
        <f t="shared" ref="P35:P49" si="13">NonDemographicGrowth17</f>
        <v>0</v>
      </c>
      <c r="Q35" s="33">
        <f t="shared" ref="Q35:Q49" si="14">ProductivityGrowth17</f>
        <v>0</v>
      </c>
      <c r="R35" s="33"/>
      <c r="S35" s="33"/>
      <c r="T35" s="33"/>
      <c r="U35" s="34">
        <f t="shared" ref="U35:U49" si="15">((1+D35)*E35+(1+F35)*G35+(1+H35)*I35+(1+J35)*K35+(1+L35+N35)*M35)*(1+O35)*(1+P35)*(1-Q35)+R35*(1+S35)-1</f>
        <v>2.1260097064499606E-2</v>
      </c>
      <c r="V35" s="33"/>
      <c r="W35" s="35"/>
      <c r="X35" s="35">
        <f t="shared" ref="X35:X49" si="16">C35*(1+U35)+W35</f>
        <v>183841.11511296884</v>
      </c>
      <c r="Y35" s="33"/>
      <c r="Z35" s="33"/>
      <c r="AA35" s="33"/>
      <c r="AB35" s="9"/>
      <c r="AC35" s="9"/>
      <c r="AD35" s="9"/>
      <c r="AE35" s="9"/>
      <c r="AF35" s="38"/>
      <c r="AG35" s="9"/>
      <c r="AH35" s="9"/>
      <c r="AI35" s="9"/>
      <c r="AJ35" s="9"/>
      <c r="AK35" s="9"/>
      <c r="AL35" s="9"/>
      <c r="AM35" s="9"/>
      <c r="AN35" s="9"/>
      <c r="AO35" s="9"/>
      <c r="AP35" s="9"/>
      <c r="AQ35" s="9"/>
    </row>
    <row r="36" spans="1:43">
      <c r="A36" s="39" t="s">
        <v>66</v>
      </c>
      <c r="B36" s="39"/>
      <c r="C36" s="35">
        <v>27596</v>
      </c>
      <c r="D36" s="33"/>
      <c r="E36" s="33"/>
      <c r="F36" s="33"/>
      <c r="G36" s="33"/>
      <c r="H36" s="33"/>
      <c r="I36" s="33"/>
      <c r="J36" s="33">
        <f>AllIndustriesWageIncr17</f>
        <v>2.1999999999999999E-2</v>
      </c>
      <c r="K36" s="33">
        <f t="shared" si="10"/>
        <v>0.63004853224977431</v>
      </c>
      <c r="L36" s="33"/>
      <c r="M36" s="33">
        <f t="shared" si="11"/>
        <v>0.36995146775022569</v>
      </c>
      <c r="N36" s="33">
        <f t="shared" si="12"/>
        <v>0.02</v>
      </c>
      <c r="O36" s="33"/>
      <c r="P36" s="33">
        <f t="shared" si="13"/>
        <v>0</v>
      </c>
      <c r="Q36" s="33">
        <f t="shared" si="14"/>
        <v>0</v>
      </c>
      <c r="R36" s="33"/>
      <c r="S36" s="33"/>
      <c r="T36" s="33"/>
      <c r="U36" s="34">
        <f t="shared" si="15"/>
        <v>2.1260097064499606E-2</v>
      </c>
      <c r="V36" s="33"/>
      <c r="W36" s="35"/>
      <c r="X36" s="35">
        <f t="shared" si="16"/>
        <v>28182.693638591933</v>
      </c>
      <c r="Y36" s="33"/>
      <c r="Z36" s="33"/>
      <c r="AA36" s="33"/>
      <c r="AB36" s="9"/>
      <c r="AC36" s="9"/>
      <c r="AD36" s="9"/>
      <c r="AE36" s="9"/>
      <c r="AF36" s="38"/>
      <c r="AG36" s="9"/>
      <c r="AH36" s="9"/>
      <c r="AI36" s="9"/>
      <c r="AJ36" s="9"/>
      <c r="AK36" s="9"/>
      <c r="AL36" s="9"/>
      <c r="AM36" s="9"/>
      <c r="AN36" s="9"/>
      <c r="AO36" s="9"/>
      <c r="AP36" s="9"/>
      <c r="AQ36" s="9"/>
    </row>
    <row r="37" spans="1:43">
      <c r="A37" s="39" t="s">
        <v>67</v>
      </c>
      <c r="B37" s="39"/>
      <c r="C37" s="35">
        <v>85001</v>
      </c>
      <c r="D37" s="33"/>
      <c r="E37" s="33"/>
      <c r="F37" s="33"/>
      <c r="G37" s="33"/>
      <c r="H37" s="33"/>
      <c r="I37" s="33"/>
      <c r="J37" s="33">
        <f>DHBProviderWageIncrease17</f>
        <v>2.1999999999999999E-2</v>
      </c>
      <c r="K37" s="33">
        <f t="shared" si="10"/>
        <v>0.63004853224977431</v>
      </c>
      <c r="L37" s="33"/>
      <c r="M37" s="33">
        <f t="shared" si="11"/>
        <v>0.36995146775022569</v>
      </c>
      <c r="N37" s="33">
        <f t="shared" si="12"/>
        <v>0.02</v>
      </c>
      <c r="O37" s="33">
        <f>ChildPopGrowth17</f>
        <v>5.8721740663003619E-3</v>
      </c>
      <c r="P37" s="33">
        <f t="shared" si="13"/>
        <v>0</v>
      </c>
      <c r="Q37" s="33">
        <f t="shared" si="14"/>
        <v>0</v>
      </c>
      <c r="R37" s="33"/>
      <c r="S37" s="33"/>
      <c r="T37" s="33"/>
      <c r="U37" s="34">
        <f t="shared" si="15"/>
        <v>2.725711412142906E-2</v>
      </c>
      <c r="V37" s="33"/>
      <c r="W37" s="35"/>
      <c r="X37" s="35">
        <f t="shared" si="16"/>
        <v>87317.881957435588</v>
      </c>
      <c r="Y37" s="33"/>
      <c r="Z37" s="33"/>
      <c r="AA37" s="33"/>
      <c r="AB37" s="9"/>
      <c r="AC37" s="9"/>
      <c r="AD37" s="9"/>
      <c r="AE37" s="9"/>
      <c r="AF37" s="38"/>
      <c r="AG37" s="9"/>
      <c r="AH37" s="9"/>
      <c r="AI37" s="9"/>
      <c r="AJ37" s="9"/>
      <c r="AK37" s="9"/>
      <c r="AL37" s="9"/>
      <c r="AM37" s="9"/>
      <c r="AN37" s="9"/>
      <c r="AO37" s="9"/>
      <c r="AP37" s="9"/>
      <c r="AQ37" s="9"/>
    </row>
    <row r="38" spans="1:43">
      <c r="A38" s="39" t="s">
        <v>68</v>
      </c>
      <c r="B38" s="39"/>
      <c r="C38" s="35">
        <v>37155</v>
      </c>
      <c r="D38" s="33"/>
      <c r="E38" s="33"/>
      <c r="F38" s="33"/>
      <c r="G38" s="33"/>
      <c r="H38" s="33"/>
      <c r="I38" s="33"/>
      <c r="J38" s="33">
        <f>AllIndustriesWageIncr17</f>
        <v>2.1999999999999999E-2</v>
      </c>
      <c r="K38" s="33">
        <f t="shared" si="10"/>
        <v>0.63004853224977431</v>
      </c>
      <c r="L38" s="33"/>
      <c r="M38" s="33">
        <f t="shared" si="11"/>
        <v>0.36995146775022569</v>
      </c>
      <c r="N38" s="33">
        <f t="shared" si="12"/>
        <v>0.02</v>
      </c>
      <c r="O38" s="33">
        <f>PopulationGrowth17</f>
        <v>2.510707935360923E-2</v>
      </c>
      <c r="P38" s="33">
        <f t="shared" si="13"/>
        <v>0</v>
      </c>
      <c r="Q38" s="33">
        <f t="shared" si="14"/>
        <v>0</v>
      </c>
      <c r="R38" s="33"/>
      <c r="S38" s="33"/>
      <c r="T38" s="33"/>
      <c r="U38" s="34">
        <f t="shared" si="15"/>
        <v>4.6900955362172647E-2</v>
      </c>
      <c r="V38" s="33"/>
      <c r="W38" s="35"/>
      <c r="X38" s="35">
        <f t="shared" si="16"/>
        <v>38897.604996481525</v>
      </c>
      <c r="Y38" s="33"/>
      <c r="Z38" s="33"/>
      <c r="AA38" s="33"/>
      <c r="AB38" s="9"/>
      <c r="AC38" s="9"/>
      <c r="AD38" s="9"/>
      <c r="AE38" s="9"/>
      <c r="AF38" s="38"/>
      <c r="AG38" s="9"/>
      <c r="AH38" s="9"/>
      <c r="AI38" s="9"/>
      <c r="AJ38" s="9"/>
      <c r="AK38" s="9"/>
      <c r="AL38" s="9"/>
      <c r="AM38" s="9"/>
      <c r="AN38" s="9"/>
      <c r="AO38" s="9"/>
      <c r="AP38" s="9"/>
      <c r="AQ38" s="9"/>
    </row>
    <row r="39" spans="1:43">
      <c r="A39" s="39" t="s">
        <v>69</v>
      </c>
      <c r="B39" s="39"/>
      <c r="C39" s="35">
        <v>1165888</v>
      </c>
      <c r="D39" s="33"/>
      <c r="E39" s="33"/>
      <c r="F39" s="33"/>
      <c r="G39" s="33"/>
      <c r="H39" s="33"/>
      <c r="I39" s="33"/>
      <c r="J39" s="57">
        <f>HighMinWageSectorWageIncrease17</f>
        <v>3.0800000000000004E-2</v>
      </c>
      <c r="K39" s="33">
        <f t="shared" si="10"/>
        <v>0.63004853224977431</v>
      </c>
      <c r="L39" s="33"/>
      <c r="M39" s="33">
        <f t="shared" si="11"/>
        <v>0.36995146775022569</v>
      </c>
      <c r="N39" s="33">
        <f t="shared" si="12"/>
        <v>0.02</v>
      </c>
      <c r="O39" s="33">
        <f>PopulationGrowth17</f>
        <v>2.510707935360923E-2</v>
      </c>
      <c r="P39" s="33">
        <f t="shared" si="13"/>
        <v>0</v>
      </c>
      <c r="Q39" s="33">
        <f t="shared" si="14"/>
        <v>0</v>
      </c>
      <c r="R39" s="33"/>
      <c r="S39" s="33"/>
      <c r="T39" s="33"/>
      <c r="U39" s="34">
        <f t="shared" si="15"/>
        <v>5.2584586816733836E-2</v>
      </c>
      <c r="V39" s="33"/>
      <c r="W39" s="35"/>
      <c r="X39" s="35">
        <f t="shared" si="16"/>
        <v>1227195.7387545882</v>
      </c>
      <c r="Y39" s="35"/>
      <c r="Z39" s="33"/>
      <c r="AA39" s="33"/>
      <c r="AB39" s="9"/>
      <c r="AC39" s="9"/>
      <c r="AD39" s="9"/>
      <c r="AE39" s="9"/>
      <c r="AF39" s="38"/>
      <c r="AG39" s="9"/>
      <c r="AH39" s="9"/>
      <c r="AI39" s="9"/>
      <c r="AJ39" s="9"/>
      <c r="AK39" s="9"/>
      <c r="AL39" s="9"/>
      <c r="AM39" s="9"/>
      <c r="AN39" s="9"/>
      <c r="AO39" s="9"/>
      <c r="AP39" s="9"/>
      <c r="AQ39" s="9"/>
    </row>
    <row r="40" spans="1:43">
      <c r="A40" s="39" t="s">
        <v>70</v>
      </c>
      <c r="B40" s="39"/>
      <c r="C40" s="35">
        <v>355517</v>
      </c>
      <c r="D40" s="33"/>
      <c r="E40" s="33"/>
      <c r="F40" s="33"/>
      <c r="G40" s="33"/>
      <c r="H40" s="33"/>
      <c r="I40" s="33"/>
      <c r="J40" s="33">
        <f>DHBProviderWageIncrease17</f>
        <v>2.1999999999999999E-2</v>
      </c>
      <c r="K40" s="33">
        <f t="shared" si="10"/>
        <v>0.63004853224977431</v>
      </c>
      <c r="L40" s="33"/>
      <c r="M40" s="33">
        <f t="shared" si="11"/>
        <v>0.36995146775022569</v>
      </c>
      <c r="N40" s="33">
        <f t="shared" si="12"/>
        <v>0.02</v>
      </c>
      <c r="O40" s="33">
        <f>PopulationGrowth17</f>
        <v>2.510707935360923E-2</v>
      </c>
      <c r="P40" s="33">
        <f t="shared" si="13"/>
        <v>0</v>
      </c>
      <c r="Q40" s="33">
        <f t="shared" si="14"/>
        <v>0</v>
      </c>
      <c r="R40" s="33"/>
      <c r="S40" s="33"/>
      <c r="T40" s="33"/>
      <c r="U40" s="34">
        <f t="shared" si="15"/>
        <v>4.6900955362172647E-2</v>
      </c>
      <c r="V40" s="33"/>
      <c r="W40" s="35"/>
      <c r="X40" s="35">
        <f t="shared" si="16"/>
        <v>372191.08694749355</v>
      </c>
      <c r="Y40" s="33"/>
      <c r="Z40" s="33"/>
      <c r="AA40" s="33"/>
      <c r="AB40" s="9"/>
      <c r="AC40" s="9"/>
      <c r="AD40" s="9"/>
      <c r="AE40" s="9"/>
      <c r="AF40" s="38"/>
      <c r="AG40" s="9"/>
      <c r="AH40" s="9"/>
      <c r="AI40" s="9"/>
      <c r="AJ40" s="9"/>
      <c r="AK40" s="9"/>
      <c r="AL40" s="9"/>
      <c r="AM40" s="9"/>
      <c r="AN40" s="9"/>
      <c r="AO40" s="9"/>
      <c r="AP40" s="9"/>
      <c r="AQ40" s="9"/>
    </row>
    <row r="41" spans="1:43">
      <c r="A41" s="39" t="s">
        <v>71</v>
      </c>
      <c r="B41" s="39"/>
      <c r="C41" s="35">
        <v>99946</v>
      </c>
      <c r="D41" s="33"/>
      <c r="E41" s="33"/>
      <c r="F41" s="33"/>
      <c r="G41" s="33"/>
      <c r="H41" s="33"/>
      <c r="I41" s="33"/>
      <c r="J41" s="33">
        <f>AllIndustriesWageIncr17</f>
        <v>2.1999999999999999E-2</v>
      </c>
      <c r="K41" s="33">
        <f t="shared" si="10"/>
        <v>0.63004853224977431</v>
      </c>
      <c r="L41" s="33"/>
      <c r="M41" s="33">
        <f t="shared" si="11"/>
        <v>0.36995146775022569</v>
      </c>
      <c r="N41" s="33">
        <f t="shared" si="12"/>
        <v>0.02</v>
      </c>
      <c r="O41" s="33">
        <f>PopulationGrowth17</f>
        <v>2.510707935360923E-2</v>
      </c>
      <c r="P41" s="33">
        <f t="shared" si="13"/>
        <v>0</v>
      </c>
      <c r="Q41" s="33">
        <f t="shared" si="14"/>
        <v>0</v>
      </c>
      <c r="R41" s="33"/>
      <c r="S41" s="33"/>
      <c r="T41" s="33"/>
      <c r="U41" s="34">
        <f t="shared" si="15"/>
        <v>4.6900955362172647E-2</v>
      </c>
      <c r="V41" s="33"/>
      <c r="W41" s="35"/>
      <c r="X41" s="35">
        <f t="shared" si="16"/>
        <v>104633.56288462771</v>
      </c>
      <c r="Y41" s="33"/>
      <c r="Z41" s="33"/>
      <c r="AA41" s="33"/>
      <c r="AB41" s="9"/>
      <c r="AC41" s="9"/>
      <c r="AD41" s="9"/>
      <c r="AE41" s="9"/>
      <c r="AF41" s="38"/>
      <c r="AG41" s="9"/>
      <c r="AH41" s="9"/>
      <c r="AI41" s="9"/>
      <c r="AJ41" s="9"/>
      <c r="AK41" s="9"/>
      <c r="AL41" s="9"/>
      <c r="AM41" s="9"/>
      <c r="AN41" s="9"/>
      <c r="AO41" s="9"/>
      <c r="AP41" s="9"/>
      <c r="AQ41" s="9"/>
    </row>
    <row r="42" spans="1:43">
      <c r="A42" s="39" t="s">
        <v>72</v>
      </c>
      <c r="B42" s="39"/>
      <c r="C42" s="35">
        <v>13065</v>
      </c>
      <c r="D42" s="33"/>
      <c r="E42" s="33"/>
      <c r="F42" s="33"/>
      <c r="G42" s="33"/>
      <c r="H42" s="33"/>
      <c r="I42" s="33"/>
      <c r="J42" s="33">
        <f>AllIndustriesWageIncr17</f>
        <v>2.1999999999999999E-2</v>
      </c>
      <c r="K42" s="33">
        <f t="shared" si="10"/>
        <v>0.63004853224977431</v>
      </c>
      <c r="L42" s="33"/>
      <c r="M42" s="33">
        <f t="shared" si="11"/>
        <v>0.36995146775022569</v>
      </c>
      <c r="N42" s="33">
        <f t="shared" si="12"/>
        <v>0.02</v>
      </c>
      <c r="O42" s="33"/>
      <c r="P42" s="33">
        <f t="shared" si="13"/>
        <v>0</v>
      </c>
      <c r="Q42" s="33">
        <f t="shared" si="14"/>
        <v>0</v>
      </c>
      <c r="R42" s="33"/>
      <c r="S42" s="33"/>
      <c r="T42" s="33"/>
      <c r="U42" s="34">
        <f t="shared" si="15"/>
        <v>2.1260097064499606E-2</v>
      </c>
      <c r="V42" s="33"/>
      <c r="W42" s="35"/>
      <c r="X42" s="35">
        <f t="shared" si="16"/>
        <v>13342.763168147687</v>
      </c>
      <c r="Y42" s="33"/>
      <c r="Z42" s="33"/>
      <c r="AA42" s="33"/>
      <c r="AB42" s="9"/>
      <c r="AC42" s="9"/>
      <c r="AD42" s="9"/>
      <c r="AE42" s="9"/>
      <c r="AF42" s="38"/>
      <c r="AG42" s="9"/>
      <c r="AH42" s="9"/>
      <c r="AI42" s="9"/>
      <c r="AJ42" s="9"/>
      <c r="AK42" s="9"/>
      <c r="AL42" s="9"/>
      <c r="AM42" s="9"/>
      <c r="AN42" s="9"/>
      <c r="AO42" s="9"/>
      <c r="AP42" s="9"/>
      <c r="AQ42" s="9"/>
    </row>
    <row r="43" spans="1:43">
      <c r="A43" s="39" t="s">
        <v>73</v>
      </c>
      <c r="B43" s="39"/>
      <c r="C43" s="35">
        <v>6828</v>
      </c>
      <c r="D43" s="33"/>
      <c r="E43" s="33"/>
      <c r="F43" s="33"/>
      <c r="G43" s="33"/>
      <c r="H43" s="33"/>
      <c r="I43" s="33"/>
      <c r="J43" s="33">
        <f>AllIndustriesWageIncr17</f>
        <v>2.1999999999999999E-2</v>
      </c>
      <c r="K43" s="33">
        <f t="shared" si="10"/>
        <v>0.63004853224977431</v>
      </c>
      <c r="L43" s="33"/>
      <c r="M43" s="33">
        <f t="shared" si="11"/>
        <v>0.36995146775022569</v>
      </c>
      <c r="N43" s="33">
        <f t="shared" si="12"/>
        <v>0.02</v>
      </c>
      <c r="O43" s="33">
        <f>PopulationGrowth17</f>
        <v>2.510707935360923E-2</v>
      </c>
      <c r="P43" s="33">
        <f t="shared" si="13"/>
        <v>0</v>
      </c>
      <c r="Q43" s="33">
        <f t="shared" si="14"/>
        <v>0</v>
      </c>
      <c r="R43" s="33"/>
      <c r="S43" s="33"/>
      <c r="T43" s="33"/>
      <c r="U43" s="34">
        <f t="shared" si="15"/>
        <v>4.6900955362172647E-2</v>
      </c>
      <c r="V43" s="33"/>
      <c r="W43" s="35"/>
      <c r="X43" s="35">
        <f t="shared" si="16"/>
        <v>7148.2397232129151</v>
      </c>
      <c r="Y43" s="33"/>
      <c r="Z43" s="33"/>
      <c r="AA43" s="33"/>
      <c r="AB43" s="9"/>
      <c r="AC43" s="9"/>
      <c r="AD43" s="9"/>
      <c r="AE43" s="9"/>
      <c r="AF43" s="38"/>
      <c r="AG43" s="9"/>
      <c r="AH43" s="9"/>
      <c r="AI43" s="9"/>
      <c r="AJ43" s="9"/>
      <c r="AK43" s="9"/>
      <c r="AL43" s="9"/>
      <c r="AM43" s="9"/>
      <c r="AN43" s="9"/>
      <c r="AO43" s="9"/>
      <c r="AP43" s="9"/>
      <c r="AQ43" s="9"/>
    </row>
    <row r="44" spans="1:43">
      <c r="A44" s="39" t="s">
        <v>74</v>
      </c>
      <c r="B44" s="39"/>
      <c r="C44" s="35">
        <v>146767</v>
      </c>
      <c r="D44" s="33"/>
      <c r="E44" s="33"/>
      <c r="F44" s="33"/>
      <c r="G44" s="33"/>
      <c r="H44" s="33"/>
      <c r="I44" s="33"/>
      <c r="J44" s="33">
        <f>DHBProviderWageIncrease17</f>
        <v>2.1999999999999999E-2</v>
      </c>
      <c r="K44" s="33">
        <f t="shared" si="10"/>
        <v>0.63004853224977431</v>
      </c>
      <c r="L44" s="33"/>
      <c r="M44" s="33">
        <f t="shared" si="11"/>
        <v>0.36995146775022569</v>
      </c>
      <c r="N44" s="33">
        <f t="shared" si="12"/>
        <v>0.02</v>
      </c>
      <c r="O44" s="33">
        <f>BirthGrowth17</f>
        <v>2.6272577996715896E-2</v>
      </c>
      <c r="P44" s="33">
        <f t="shared" si="13"/>
        <v>0</v>
      </c>
      <c r="Q44" s="33">
        <f t="shared" si="14"/>
        <v>0</v>
      </c>
      <c r="R44" s="33"/>
      <c r="S44" s="33"/>
      <c r="T44" s="33"/>
      <c r="U44" s="34">
        <f t="shared" si="15"/>
        <v>4.8091232619560387E-2</v>
      </c>
      <c r="V44" s="33"/>
      <c r="W44" s="35"/>
      <c r="X44" s="35">
        <f t="shared" si="16"/>
        <v>153825.20593787503</v>
      </c>
      <c r="Y44" s="33"/>
      <c r="Z44" s="33"/>
      <c r="AA44" s="33"/>
      <c r="AB44" s="9"/>
      <c r="AC44" s="9"/>
      <c r="AD44" s="9"/>
      <c r="AE44" s="9"/>
      <c r="AF44" s="38"/>
      <c r="AG44" s="9"/>
      <c r="AH44" s="9"/>
      <c r="AI44" s="9"/>
      <c r="AJ44" s="9"/>
      <c r="AK44" s="9"/>
      <c r="AL44" s="9"/>
      <c r="AM44" s="9"/>
      <c r="AN44" s="9"/>
      <c r="AO44" s="9"/>
      <c r="AP44" s="9"/>
      <c r="AQ44" s="9"/>
    </row>
    <row r="45" spans="1:43">
      <c r="A45" s="39" t="s">
        <v>75</v>
      </c>
      <c r="B45" s="39"/>
      <c r="C45" s="35">
        <v>58962</v>
      </c>
      <c r="D45" s="33"/>
      <c r="E45" s="33"/>
      <c r="F45" s="33"/>
      <c r="G45" s="33"/>
      <c r="H45" s="33"/>
      <c r="I45" s="33"/>
      <c r="J45" s="33">
        <f>DHBProviderWageIncrease17</f>
        <v>2.1999999999999999E-2</v>
      </c>
      <c r="K45" s="33">
        <f t="shared" si="10"/>
        <v>0.63004853224977431</v>
      </c>
      <c r="L45" s="33"/>
      <c r="M45" s="33">
        <f t="shared" si="11"/>
        <v>0.36995146775022569</v>
      </c>
      <c r="N45" s="33">
        <f t="shared" si="12"/>
        <v>0.02</v>
      </c>
      <c r="O45" s="33">
        <v>0.05</v>
      </c>
      <c r="P45" s="33">
        <f t="shared" si="13"/>
        <v>0</v>
      </c>
      <c r="Q45" s="33">
        <f t="shared" si="14"/>
        <v>0</v>
      </c>
      <c r="R45" s="33"/>
      <c r="S45" s="33"/>
      <c r="T45" s="33"/>
      <c r="U45" s="34">
        <f t="shared" si="15"/>
        <v>7.2323101917724619E-2</v>
      </c>
      <c r="V45" s="33"/>
      <c r="W45" s="35"/>
      <c r="X45" s="35">
        <f t="shared" si="16"/>
        <v>63226.314735272877</v>
      </c>
      <c r="Y45" s="33"/>
      <c r="Z45" s="33"/>
      <c r="AA45" s="33"/>
      <c r="AB45" s="9"/>
      <c r="AC45" s="9"/>
      <c r="AD45" s="9"/>
      <c r="AE45" s="9"/>
      <c r="AF45" s="38"/>
      <c r="AG45" s="9"/>
      <c r="AH45" s="9"/>
      <c r="AI45" s="9"/>
    </row>
    <row r="46" spans="1:43">
      <c r="A46" s="39" t="s">
        <v>76</v>
      </c>
      <c r="B46" s="39"/>
      <c r="C46" s="35">
        <v>98694</v>
      </c>
      <c r="D46" s="33"/>
      <c r="E46" s="33"/>
      <c r="F46" s="33"/>
      <c r="G46" s="33"/>
      <c r="H46" s="33"/>
      <c r="I46" s="33"/>
      <c r="J46" s="33">
        <f>DHBProviderWageIncrease17</f>
        <v>2.1999999999999999E-2</v>
      </c>
      <c r="K46" s="33">
        <f t="shared" si="10"/>
        <v>0.63004853224977431</v>
      </c>
      <c r="L46" s="33"/>
      <c r="M46" s="33">
        <f t="shared" si="11"/>
        <v>0.36995146775022569</v>
      </c>
      <c r="N46" s="33">
        <f t="shared" si="12"/>
        <v>0.02</v>
      </c>
      <c r="O46" s="33">
        <f>PopulationGrowth17</f>
        <v>2.510707935360923E-2</v>
      </c>
      <c r="P46" s="33">
        <f t="shared" si="13"/>
        <v>0</v>
      </c>
      <c r="Q46" s="33">
        <f t="shared" si="14"/>
        <v>0</v>
      </c>
      <c r="R46" s="33"/>
      <c r="S46" s="33"/>
      <c r="T46" s="33"/>
      <c r="U46" s="34">
        <f t="shared" si="15"/>
        <v>4.6900955362172647E-2</v>
      </c>
      <c r="V46" s="33"/>
      <c r="W46" s="35"/>
      <c r="X46" s="35">
        <f t="shared" si="16"/>
        <v>103322.84288851426</v>
      </c>
      <c r="Y46" s="33"/>
      <c r="Z46" s="33"/>
      <c r="AA46" s="33"/>
      <c r="AB46" s="9"/>
      <c r="AC46" s="9"/>
      <c r="AD46" s="9"/>
      <c r="AE46" s="9"/>
      <c r="AF46" s="38"/>
      <c r="AG46" s="9"/>
      <c r="AH46" s="9"/>
      <c r="AI46" s="9"/>
    </row>
    <row r="47" spans="1:43">
      <c r="A47" s="39" t="s">
        <v>77</v>
      </c>
      <c r="B47" s="39"/>
      <c r="C47" s="35">
        <v>186019</v>
      </c>
      <c r="D47" s="33"/>
      <c r="E47" s="33"/>
      <c r="F47" s="33"/>
      <c r="G47" s="33"/>
      <c r="H47" s="33"/>
      <c r="I47" s="33"/>
      <c r="J47" s="33">
        <f>AllIndustriesWageIncr17</f>
        <v>2.1999999999999999E-2</v>
      </c>
      <c r="K47" s="33">
        <f t="shared" si="10"/>
        <v>0.63004853224977431</v>
      </c>
      <c r="L47" s="33"/>
      <c r="M47" s="33">
        <f t="shared" si="11"/>
        <v>0.36995146775022569</v>
      </c>
      <c r="N47" s="33">
        <f t="shared" si="12"/>
        <v>0.02</v>
      </c>
      <c r="O47" s="33">
        <f>PopulationGrowth17</f>
        <v>2.510707935360923E-2</v>
      </c>
      <c r="P47" s="33">
        <f t="shared" si="13"/>
        <v>0</v>
      </c>
      <c r="Q47" s="33">
        <f t="shared" si="14"/>
        <v>0</v>
      </c>
      <c r="R47" s="33"/>
      <c r="S47" s="33"/>
      <c r="T47" s="33"/>
      <c r="U47" s="34">
        <f t="shared" si="15"/>
        <v>4.6900955362172647E-2</v>
      </c>
      <c r="V47" s="33"/>
      <c r="W47" s="35"/>
      <c r="X47" s="35">
        <f t="shared" si="16"/>
        <v>194743.46881551598</v>
      </c>
      <c r="Y47" s="33"/>
      <c r="Z47" s="33"/>
      <c r="AA47" s="33"/>
      <c r="AB47" s="9"/>
      <c r="AC47" s="9"/>
      <c r="AD47" s="9"/>
      <c r="AE47" s="9"/>
      <c r="AF47" s="38"/>
      <c r="AG47" s="9"/>
      <c r="AH47" s="9"/>
      <c r="AI47" s="9"/>
    </row>
    <row r="48" spans="1:43">
      <c r="A48" s="39" t="s">
        <v>78</v>
      </c>
      <c r="B48" s="39"/>
      <c r="C48" s="35">
        <v>17440</v>
      </c>
      <c r="D48" s="33"/>
      <c r="E48" s="33"/>
      <c r="F48" s="33"/>
      <c r="G48" s="33"/>
      <c r="H48" s="33"/>
      <c r="I48" s="33"/>
      <c r="J48" s="33">
        <f>AllIndustriesWageIncr17</f>
        <v>2.1999999999999999E-2</v>
      </c>
      <c r="K48" s="33">
        <f t="shared" si="10"/>
        <v>0.63004853224977431</v>
      </c>
      <c r="L48" s="33"/>
      <c r="M48" s="33">
        <f t="shared" si="11"/>
        <v>0.36995146775022569</v>
      </c>
      <c r="N48" s="33">
        <f t="shared" si="12"/>
        <v>0.02</v>
      </c>
      <c r="O48" s="33">
        <f>PopulationGrowth17</f>
        <v>2.510707935360923E-2</v>
      </c>
      <c r="P48" s="33">
        <f t="shared" si="13"/>
        <v>0</v>
      </c>
      <c r="Q48" s="33">
        <f t="shared" si="14"/>
        <v>0</v>
      </c>
      <c r="R48" s="33"/>
      <c r="S48" s="33"/>
      <c r="T48" s="33"/>
      <c r="U48" s="34">
        <f t="shared" si="15"/>
        <v>4.6900955362172647E-2</v>
      </c>
      <c r="V48" s="33"/>
      <c r="W48" s="35"/>
      <c r="X48" s="35">
        <f t="shared" si="16"/>
        <v>18257.95266151629</v>
      </c>
      <c r="Y48" s="33"/>
      <c r="Z48" s="33"/>
      <c r="AA48" s="33"/>
      <c r="AB48" s="9"/>
      <c r="AC48" s="9"/>
      <c r="AD48" s="9"/>
      <c r="AE48" s="9"/>
      <c r="AF48" s="38"/>
      <c r="AG48" s="9"/>
      <c r="AH48" s="9"/>
      <c r="AI48" s="9"/>
    </row>
    <row r="49" spans="1:35">
      <c r="A49" s="58" t="s">
        <v>79</v>
      </c>
      <c r="B49" s="58"/>
      <c r="C49" s="45">
        <v>400644</v>
      </c>
      <c r="D49" s="46"/>
      <c r="E49" s="46"/>
      <c r="F49" s="46"/>
      <c r="G49" s="46"/>
      <c r="H49" s="46"/>
      <c r="I49" s="46"/>
      <c r="J49" s="46">
        <f>DHBProviderWageIncrease17</f>
        <v>2.1999999999999999E-2</v>
      </c>
      <c r="K49" s="46">
        <f t="shared" si="10"/>
        <v>0.63004853224977431</v>
      </c>
      <c r="L49" s="46"/>
      <c r="M49" s="46">
        <f t="shared" si="11"/>
        <v>0.36995146775022569</v>
      </c>
      <c r="N49" s="46">
        <f t="shared" si="12"/>
        <v>0.02</v>
      </c>
      <c r="O49" s="46">
        <f>PopulationGrowth17</f>
        <v>2.510707935360923E-2</v>
      </c>
      <c r="P49" s="46">
        <f t="shared" si="13"/>
        <v>0</v>
      </c>
      <c r="Q49" s="46">
        <f t="shared" si="14"/>
        <v>0</v>
      </c>
      <c r="R49" s="46"/>
      <c r="S49" s="46"/>
      <c r="T49" s="46"/>
      <c r="U49" s="47">
        <f t="shared" si="15"/>
        <v>4.6900955362172647E-2</v>
      </c>
      <c r="V49" s="46"/>
      <c r="W49" s="45"/>
      <c r="X49" s="45">
        <f t="shared" si="16"/>
        <v>419434.58636012231</v>
      </c>
      <c r="Y49" s="46"/>
      <c r="Z49" s="46"/>
      <c r="AA49" s="43"/>
      <c r="AB49" s="9"/>
      <c r="AC49" s="9"/>
      <c r="AD49" s="9"/>
      <c r="AE49" s="9"/>
      <c r="AF49" s="38"/>
      <c r="AG49" s="9"/>
      <c r="AH49" s="9"/>
      <c r="AI49" s="9"/>
    </row>
    <row r="50" spans="1:35">
      <c r="A50" s="59" t="s">
        <v>80</v>
      </c>
      <c r="C50" s="32">
        <f>SUM(C35:C49)</f>
        <v>2879536</v>
      </c>
      <c r="D50" s="33"/>
      <c r="E50" s="33"/>
      <c r="F50" s="33"/>
      <c r="G50" s="33"/>
      <c r="H50" s="33"/>
      <c r="I50" s="33"/>
      <c r="J50" s="33"/>
      <c r="K50" s="33"/>
      <c r="L50" s="33"/>
      <c r="M50" s="33"/>
      <c r="N50" s="33"/>
      <c r="O50" s="33"/>
      <c r="P50" s="33"/>
      <c r="Q50" s="33"/>
      <c r="R50" s="33"/>
      <c r="S50" s="33"/>
      <c r="T50" s="33"/>
      <c r="U50" s="60">
        <f t="array" ref="U50">SUM(C35:C49*U35:U49)/SUM(C35:C49)</f>
        <v>4.723853377153981E-2</v>
      </c>
      <c r="V50" s="33"/>
      <c r="W50" s="32">
        <f t="array" ref="W50">SUM(IF($B$86:$B$93&lt;&gt;"DHBs",$C$86:$C$93,0))</f>
        <v>310050</v>
      </c>
      <c r="X50" s="32">
        <f>SUM(X35:X49)-SUM(W35:W49)+W50</f>
        <v>3325611.0585823646</v>
      </c>
      <c r="Y50" s="32">
        <f>X50</f>
        <v>3325611.0585823646</v>
      </c>
      <c r="Z50" s="32">
        <f>X50-C50</f>
        <v>446075.05858236458</v>
      </c>
      <c r="AA50" s="32"/>
      <c r="AB50" s="32"/>
      <c r="AC50" s="9"/>
      <c r="AD50" s="9"/>
      <c r="AE50" s="9"/>
      <c r="AF50" s="38"/>
      <c r="AG50" s="38"/>
      <c r="AH50" s="9"/>
      <c r="AI50" s="9"/>
    </row>
    <row r="51" spans="1:35">
      <c r="D51" s="33"/>
      <c r="E51" s="33"/>
      <c r="F51" s="33"/>
      <c r="G51" s="33"/>
      <c r="H51" s="33"/>
      <c r="I51" s="33"/>
      <c r="J51" s="33"/>
      <c r="K51" s="33"/>
      <c r="L51" s="33"/>
      <c r="M51" s="33"/>
      <c r="N51" s="33"/>
      <c r="O51" s="33"/>
      <c r="P51" s="33"/>
      <c r="Q51" s="33"/>
      <c r="R51" s="33"/>
      <c r="S51" s="33"/>
      <c r="T51" s="33"/>
      <c r="U51" s="43"/>
      <c r="V51" s="61" t="s">
        <v>63</v>
      </c>
      <c r="W51" s="9"/>
      <c r="X51" s="62">
        <f>X50-W50</f>
        <v>3015561.0585823646</v>
      </c>
      <c r="Y51" s="63" t="s">
        <v>64</v>
      </c>
      <c r="Z51" s="64">
        <f>Z50/C50</f>
        <v>0.15491213118445632</v>
      </c>
      <c r="AA51" s="9"/>
      <c r="AB51" s="9"/>
      <c r="AC51" s="9"/>
      <c r="AD51" s="9"/>
      <c r="AE51" s="9"/>
      <c r="AF51" s="38"/>
      <c r="AG51" s="9"/>
      <c r="AH51" s="9"/>
      <c r="AI51" s="9"/>
    </row>
    <row r="52" spans="1:35">
      <c r="D52" s="33"/>
      <c r="E52" s="33"/>
      <c r="F52" s="33"/>
      <c r="G52" s="33"/>
      <c r="H52" s="33"/>
      <c r="I52" s="33"/>
      <c r="J52" s="33"/>
      <c r="K52" s="33"/>
      <c r="L52" s="33"/>
      <c r="M52" s="33"/>
      <c r="N52" s="33"/>
      <c r="O52" s="33"/>
      <c r="P52" s="33"/>
      <c r="Q52" s="33"/>
      <c r="R52" s="33"/>
      <c r="S52" s="33"/>
      <c r="T52" s="33"/>
      <c r="U52" s="46"/>
      <c r="V52" s="65" t="s">
        <v>64</v>
      </c>
      <c r="W52" s="66"/>
      <c r="X52" s="67">
        <f>X51-C50</f>
        <v>136025.05858236458</v>
      </c>
      <c r="Y52" s="68" t="s">
        <v>64</v>
      </c>
      <c r="Z52" s="69">
        <f>X52/C50</f>
        <v>4.7238533771539783E-2</v>
      </c>
      <c r="AA52" s="9"/>
      <c r="AB52" s="9"/>
      <c r="AC52" s="9"/>
      <c r="AD52" s="9"/>
      <c r="AE52" s="9"/>
      <c r="AF52" s="38"/>
      <c r="AG52" s="9"/>
      <c r="AH52" s="9"/>
      <c r="AI52" s="9"/>
    </row>
    <row r="53" spans="1:35">
      <c r="A53" s="70" t="s">
        <v>81</v>
      </c>
      <c r="B53" s="70"/>
      <c r="C53" s="71">
        <f>C50+C32</f>
        <v>15099451</v>
      </c>
      <c r="D53" s="33"/>
      <c r="E53" s="33"/>
      <c r="F53" s="33"/>
      <c r="G53" s="33"/>
      <c r="H53" s="33"/>
      <c r="I53" s="33"/>
      <c r="J53" s="33"/>
      <c r="K53" s="33"/>
      <c r="L53" s="33"/>
      <c r="M53" s="33"/>
      <c r="N53" s="33"/>
      <c r="O53" s="33"/>
      <c r="P53" s="33"/>
      <c r="Q53" s="33"/>
      <c r="R53" s="33"/>
      <c r="S53" s="33"/>
      <c r="T53" s="33"/>
      <c r="U53" s="60">
        <f t="array" ref="U53">SUM(C32:C49*U32:U49)/SUM(C32:C49)</f>
        <v>4.7452135719294991E-2</v>
      </c>
      <c r="W53" s="72">
        <f>W50+W32</f>
        <v>374950</v>
      </c>
      <c r="X53" s="32">
        <f>X32+X50</f>
        <v>16190661.993530113</v>
      </c>
      <c r="Y53" s="32">
        <f>X53</f>
        <v>16190661.993530113</v>
      </c>
      <c r="Z53" s="32">
        <f>X53-C53</f>
        <v>1091210.9935301133</v>
      </c>
      <c r="AA53" s="32"/>
      <c r="AB53" s="9"/>
      <c r="AC53" s="9"/>
      <c r="AD53" s="9"/>
      <c r="AE53" s="9"/>
      <c r="AF53" s="38"/>
      <c r="AG53" s="9"/>
      <c r="AH53" s="9"/>
      <c r="AI53" s="9"/>
    </row>
    <row r="54" spans="1:35">
      <c r="D54" s="33"/>
      <c r="E54" s="33"/>
      <c r="F54" s="33"/>
      <c r="G54" s="33"/>
      <c r="H54" s="33"/>
      <c r="I54" s="33"/>
      <c r="J54" s="33"/>
      <c r="K54" s="33"/>
      <c r="L54" s="33"/>
      <c r="M54" s="33"/>
      <c r="N54" s="33"/>
      <c r="O54" s="33"/>
      <c r="P54" s="33"/>
      <c r="Q54" s="33"/>
      <c r="R54" s="33"/>
      <c r="S54" s="33"/>
      <c r="T54" s="33"/>
      <c r="U54" s="34"/>
      <c r="V54" s="53" t="s">
        <v>63</v>
      </c>
      <c r="X54" s="54">
        <f>X53-W53</f>
        <v>15815711.993530113</v>
      </c>
      <c r="Y54" s="36" t="s">
        <v>64</v>
      </c>
      <c r="Z54" s="55">
        <f>Z53/C53</f>
        <v>7.2268256212104212E-2</v>
      </c>
      <c r="AA54" s="9"/>
      <c r="AB54" s="9"/>
      <c r="AC54" s="9"/>
      <c r="AD54" s="9"/>
      <c r="AE54" s="9"/>
      <c r="AF54" s="38"/>
      <c r="AG54" s="9"/>
      <c r="AH54" s="9"/>
      <c r="AI54" s="9"/>
    </row>
    <row r="55" spans="1:35">
      <c r="A55" s="6" t="s">
        <v>82</v>
      </c>
      <c r="D55" s="33"/>
      <c r="E55" s="33"/>
      <c r="F55" s="33"/>
      <c r="G55" s="33"/>
      <c r="H55" s="33"/>
      <c r="I55" s="33"/>
      <c r="J55" s="33"/>
      <c r="K55" s="33"/>
      <c r="L55" s="33"/>
      <c r="M55" s="33"/>
      <c r="N55" s="33"/>
      <c r="O55" s="33"/>
      <c r="P55" s="33"/>
      <c r="Q55" s="33"/>
      <c r="R55" s="33"/>
      <c r="S55" s="33"/>
      <c r="T55" s="33"/>
      <c r="U55" s="33"/>
      <c r="Y55" s="32"/>
      <c r="Z55" s="37"/>
      <c r="AA55" s="37"/>
      <c r="AB55" s="9"/>
      <c r="AC55" s="9"/>
      <c r="AD55" s="9"/>
      <c r="AE55" s="9"/>
      <c r="AF55" s="38"/>
      <c r="AG55" s="38"/>
      <c r="AH55" s="9"/>
      <c r="AI55" s="9"/>
    </row>
    <row r="56" spans="1:35">
      <c r="D56" s="33"/>
      <c r="E56" s="33"/>
      <c r="F56" s="33"/>
      <c r="G56" s="33"/>
      <c r="H56" s="33"/>
      <c r="I56" s="33"/>
      <c r="J56" s="33"/>
      <c r="K56" s="33"/>
      <c r="L56" s="33"/>
      <c r="M56" s="33"/>
      <c r="N56" s="33"/>
      <c r="O56" s="33"/>
      <c r="P56" s="33"/>
      <c r="Q56" s="33"/>
      <c r="R56" s="33"/>
      <c r="S56" s="33"/>
      <c r="T56" s="33"/>
      <c r="U56" s="34"/>
      <c r="Z56" s="37"/>
      <c r="AA56" s="37"/>
      <c r="AB56" s="9"/>
      <c r="AC56" s="9"/>
      <c r="AD56" s="9"/>
      <c r="AE56" s="9"/>
      <c r="AF56" s="9"/>
      <c r="AG56" s="9"/>
      <c r="AH56" s="9"/>
      <c r="AI56" s="9"/>
    </row>
    <row r="57" spans="1:35">
      <c r="A57" s="70" t="s">
        <v>83</v>
      </c>
      <c r="B57" s="70"/>
      <c r="C57" s="71">
        <f>SUM(C54:C56)</f>
        <v>0</v>
      </c>
      <c r="D57" s="73"/>
      <c r="E57" s="33"/>
      <c r="F57" s="33"/>
      <c r="G57" s="33"/>
      <c r="H57" s="33"/>
      <c r="I57" s="33"/>
      <c r="J57" s="33"/>
      <c r="K57" s="33"/>
      <c r="L57" s="33"/>
      <c r="M57" s="33"/>
      <c r="N57" s="33"/>
      <c r="O57" s="33"/>
      <c r="P57" s="33"/>
      <c r="Q57" s="33"/>
      <c r="R57" s="33"/>
      <c r="S57" s="33"/>
      <c r="T57" s="33"/>
      <c r="U57" s="60">
        <f>IFERROR(SUM(C56*U56)/SUM(C56),U56)</f>
        <v>0</v>
      </c>
      <c r="X57" s="32">
        <f t="array" ref="X57">SUM(C54:C56*(1+U54:U56))</f>
        <v>0</v>
      </c>
      <c r="Y57" s="32">
        <f>X57</f>
        <v>0</v>
      </c>
      <c r="Z57" s="32">
        <f>X57-C57</f>
        <v>0</v>
      </c>
      <c r="AA57" s="32"/>
      <c r="AB57" s="9"/>
      <c r="AC57" s="9"/>
      <c r="AD57" s="9"/>
      <c r="AE57" s="9"/>
      <c r="AF57" s="9"/>
      <c r="AG57" s="9"/>
      <c r="AH57" s="9"/>
      <c r="AI57" s="9"/>
    </row>
    <row r="58" spans="1:35">
      <c r="D58" s="33"/>
      <c r="E58" s="33"/>
      <c r="F58" s="33"/>
      <c r="G58" s="33"/>
      <c r="H58" s="33"/>
      <c r="I58" s="33"/>
      <c r="J58" s="33"/>
      <c r="K58" s="33"/>
      <c r="L58" s="33"/>
      <c r="M58" s="33"/>
      <c r="N58" s="33"/>
      <c r="O58" s="33"/>
      <c r="P58" s="33"/>
      <c r="Q58" s="33"/>
      <c r="R58" s="33"/>
      <c r="S58" s="33"/>
      <c r="T58" s="33"/>
      <c r="U58" s="33"/>
      <c r="Z58" s="37"/>
      <c r="AA58" s="37"/>
      <c r="AB58" s="9"/>
      <c r="AC58" s="9"/>
      <c r="AD58" s="9"/>
      <c r="AE58" s="9"/>
    </row>
    <row r="59" spans="1:35">
      <c r="A59" s="6" t="s">
        <v>84</v>
      </c>
      <c r="B59" s="6"/>
      <c r="D59" s="33"/>
      <c r="E59" s="33"/>
      <c r="F59" s="33"/>
      <c r="G59" s="33"/>
      <c r="H59" s="33"/>
      <c r="I59" s="33"/>
      <c r="J59" s="33"/>
      <c r="K59" s="33"/>
      <c r="L59" s="33"/>
      <c r="M59" s="33"/>
      <c r="N59" s="33"/>
      <c r="O59" s="33"/>
      <c r="P59" s="33"/>
      <c r="Q59" s="33"/>
      <c r="R59" s="33"/>
      <c r="S59" s="33"/>
      <c r="T59" s="33"/>
      <c r="U59" s="33"/>
      <c r="AB59" s="9"/>
      <c r="AC59" s="9"/>
      <c r="AD59" s="9"/>
      <c r="AE59" s="9"/>
    </row>
    <row r="60" spans="1:35">
      <c r="A60" t="s">
        <v>85</v>
      </c>
      <c r="C60" s="35">
        <v>2030</v>
      </c>
      <c r="D60" s="33"/>
      <c r="E60" s="33"/>
      <c r="F60" s="33"/>
      <c r="G60" s="33"/>
      <c r="H60" s="33"/>
      <c r="I60" s="33"/>
      <c r="J60" s="33"/>
      <c r="K60" s="33"/>
      <c r="L60" s="33"/>
      <c r="M60" s="33">
        <v>1</v>
      </c>
      <c r="N60" s="33">
        <f>NonLabourGeneralCostIncreases17</f>
        <v>0.02</v>
      </c>
      <c r="O60" s="33"/>
      <c r="P60" s="33"/>
      <c r="Q60" s="33"/>
      <c r="R60" s="33"/>
      <c r="S60" s="33"/>
      <c r="T60" s="33"/>
      <c r="U60" s="34">
        <f>((1+D60)*E60+(1+F60)*G60+(1+H60)*I60+(1+J60)*K60+(1+L60+N60)*M60)*(1+O60)*(1+P60)*(1-Q60)+R60*(1+S60)-1</f>
        <v>2.0000000000000018E-2</v>
      </c>
      <c r="V60" s="33"/>
      <c r="W60" s="33"/>
      <c r="X60" s="35">
        <f>C60*(1+U60)</f>
        <v>2070.6</v>
      </c>
      <c r="Y60" s="33"/>
      <c r="Z60" s="33"/>
      <c r="AA60" s="33"/>
      <c r="AB60" s="9"/>
      <c r="AC60" s="9"/>
      <c r="AD60" s="9"/>
      <c r="AE60" s="9"/>
    </row>
    <row r="61" spans="1:35">
      <c r="A61" t="s">
        <v>86</v>
      </c>
      <c r="C61" s="35">
        <v>1028</v>
      </c>
      <c r="D61" s="33"/>
      <c r="E61" s="33"/>
      <c r="F61" s="33"/>
      <c r="G61" s="33"/>
      <c r="H61" s="33"/>
      <c r="I61" s="33"/>
      <c r="J61" s="33">
        <f>AllIndustriesWageIncr17</f>
        <v>2.1999999999999999E-2</v>
      </c>
      <c r="K61" s="33">
        <f>LabourProportion17</f>
        <v>0.63004853224977431</v>
      </c>
      <c r="L61" s="33"/>
      <c r="M61" s="33">
        <f>NonLabourProportion17</f>
        <v>0.36995146775022569</v>
      </c>
      <c r="N61" s="33">
        <f>NonLabourGeneralCostIncreases17</f>
        <v>0.02</v>
      </c>
      <c r="O61" s="33"/>
      <c r="P61" s="33"/>
      <c r="Q61" s="33">
        <f>ProductivityGrowth17</f>
        <v>0</v>
      </c>
      <c r="R61" s="33"/>
      <c r="S61" s="33"/>
      <c r="T61" s="33"/>
      <c r="U61" s="34">
        <f>((1+D61)*E61+(1+F61)*G61+(1+H61)*I61+(1+J61)*K61+(1+L61+N61)*M61)*(1+O61)*(1+P61)*(1-Q61)+R61*(1+S61)-1</f>
        <v>2.1260097064499606E-2</v>
      </c>
      <c r="V61" s="33"/>
      <c r="W61" s="33"/>
      <c r="X61" s="35">
        <f>C61*(1+U61)</f>
        <v>1049.8553797823056</v>
      </c>
      <c r="Y61" s="33"/>
      <c r="Z61" s="33"/>
      <c r="AA61" s="33"/>
      <c r="AB61" s="9"/>
      <c r="AC61" s="9"/>
      <c r="AD61" s="9"/>
      <c r="AE61" s="9"/>
    </row>
    <row r="62" spans="1:35">
      <c r="A62" t="s">
        <v>87</v>
      </c>
      <c r="C62" s="35">
        <v>25414</v>
      </c>
      <c r="D62" s="33"/>
      <c r="E62" s="33"/>
      <c r="F62" s="33"/>
      <c r="G62" s="33"/>
      <c r="H62" s="33"/>
      <c r="I62" s="33"/>
      <c r="J62" s="33">
        <f>AllIndustriesWageIncr17</f>
        <v>2.1999999999999999E-2</v>
      </c>
      <c r="K62" s="33">
        <f>LabourProportion17</f>
        <v>0.63004853224977431</v>
      </c>
      <c r="L62" s="33"/>
      <c r="M62" s="33">
        <f>NonLabourProportion17</f>
        <v>0.36995146775022569</v>
      </c>
      <c r="N62" s="33">
        <f>NonLabourGeneralCostIncreases17</f>
        <v>0.02</v>
      </c>
      <c r="O62" s="33"/>
      <c r="P62" s="33"/>
      <c r="Q62" s="33">
        <f>ProductivityGrowth17</f>
        <v>0</v>
      </c>
      <c r="R62" s="33"/>
      <c r="S62" s="33"/>
      <c r="T62" s="33"/>
      <c r="U62" s="34">
        <f>((1+D62)*E62+(1+F62)*G62+(1+H62)*I62+(1+J62)*K62+(1+L62+N62)*M62)*(1+O62)*(1+P62)*(1-Q62)+R62*(1+S62)-1</f>
        <v>2.1260097064499606E-2</v>
      </c>
      <c r="V62" s="33"/>
      <c r="W62" s="33"/>
      <c r="X62" s="35">
        <f>C62*(1+U62)</f>
        <v>25954.304106797194</v>
      </c>
      <c r="Y62" s="33"/>
      <c r="Z62" s="33"/>
      <c r="AA62" s="33"/>
      <c r="AB62" s="9"/>
      <c r="AC62" s="9"/>
      <c r="AD62" s="9"/>
      <c r="AE62" s="9"/>
    </row>
    <row r="63" spans="1:35">
      <c r="A63" s="70" t="s">
        <v>88</v>
      </c>
      <c r="B63" s="70"/>
      <c r="C63" s="71">
        <f>SUM(C60:C62)</f>
        <v>28472</v>
      </c>
      <c r="D63" s="71"/>
      <c r="E63" s="30"/>
      <c r="F63" s="30"/>
      <c r="G63" s="30"/>
      <c r="H63" s="30"/>
      <c r="I63" s="30"/>
      <c r="J63" s="30"/>
      <c r="K63" s="30"/>
      <c r="L63" s="30"/>
      <c r="M63" s="30"/>
      <c r="N63" s="30"/>
      <c r="O63" s="30"/>
      <c r="P63" s="30"/>
      <c r="Q63" s="30"/>
      <c r="R63" s="33"/>
      <c r="S63" s="33"/>
      <c r="T63" s="33"/>
      <c r="U63" s="60">
        <f t="array" ref="U63">SUM(C60:C62*U60:U62)/SUM(C60:C62)</f>
        <v>2.1170254515998122E-2</v>
      </c>
      <c r="X63" s="32">
        <f t="array" ref="X63">SUM(C60:C62*(1+U60:U62))</f>
        <v>29074.7594865795</v>
      </c>
      <c r="Y63" s="32">
        <f>X63</f>
        <v>29074.7594865795</v>
      </c>
      <c r="Z63" s="32">
        <f>X63-C63</f>
        <v>602.75948657949994</v>
      </c>
      <c r="AA63" s="32"/>
      <c r="AB63" s="9"/>
      <c r="AC63" s="9"/>
      <c r="AD63" s="9"/>
      <c r="AE63" s="9"/>
    </row>
    <row r="64" spans="1:35">
      <c r="A64" s="74"/>
      <c r="B64" s="74"/>
      <c r="C64" s="72"/>
      <c r="D64" s="30"/>
      <c r="E64" s="30"/>
      <c r="F64" s="30"/>
      <c r="G64" s="30"/>
      <c r="H64" s="30"/>
      <c r="I64" s="30"/>
      <c r="J64" s="30"/>
      <c r="K64" s="30"/>
      <c r="L64" s="30"/>
      <c r="M64" s="30"/>
      <c r="N64" s="30"/>
      <c r="O64" s="30"/>
      <c r="P64" s="30"/>
      <c r="Q64" s="30"/>
      <c r="R64" s="33"/>
      <c r="S64" s="33"/>
      <c r="T64" s="33"/>
      <c r="U64" s="33"/>
      <c r="Y64" s="36"/>
      <c r="Z64" s="37"/>
      <c r="AA64" s="9"/>
      <c r="AB64" s="9"/>
      <c r="AC64" s="9"/>
      <c r="AD64" s="9"/>
      <c r="AE64" s="9"/>
    </row>
    <row r="65" spans="1:35">
      <c r="A65" s="75" t="s">
        <v>89</v>
      </c>
      <c r="B65" s="75"/>
      <c r="C65" s="76">
        <f>C63+C57+C53+C8</f>
        <v>15323600</v>
      </c>
      <c r="D65" s="77"/>
      <c r="E65" s="77"/>
      <c r="F65" s="77"/>
      <c r="G65" s="77"/>
      <c r="H65" s="77"/>
      <c r="I65" s="77"/>
      <c r="J65" s="77"/>
      <c r="K65" s="77"/>
      <c r="L65" s="77"/>
      <c r="M65" s="77"/>
      <c r="N65" s="77"/>
      <c r="O65" s="77"/>
      <c r="P65" s="77"/>
      <c r="Q65" s="77"/>
      <c r="R65" s="78"/>
      <c r="S65" s="78"/>
      <c r="T65" s="78"/>
      <c r="U65" s="79">
        <f>(C8*U8+C53*U53+C57*U57+C63*U63)/(C8+C53+C63)</f>
        <v>4.7068839544148498E-2</v>
      </c>
      <c r="V65" s="78"/>
      <c r="W65" s="76">
        <f>W63+W53+W57+W8</f>
        <v>374950</v>
      </c>
      <c r="X65" s="76">
        <f>X63+X53+X57+X8</f>
        <v>16419573.865029983</v>
      </c>
      <c r="Y65" s="76">
        <f>Y63+Y53+Y57+Y8</f>
        <v>16419573.865029983</v>
      </c>
      <c r="Z65" s="76">
        <f>Z63+Z53+Z57+Z8</f>
        <v>1095973.865029983</v>
      </c>
      <c r="AA65" s="72"/>
      <c r="AB65" s="80"/>
      <c r="AC65" s="9"/>
      <c r="AD65" s="9"/>
      <c r="AE65" s="9"/>
    </row>
    <row r="66" spans="1:35">
      <c r="C66" s="76"/>
      <c r="E66" s="30"/>
      <c r="F66" s="30"/>
      <c r="G66" s="30"/>
      <c r="H66" s="30"/>
      <c r="I66" s="30"/>
      <c r="J66" s="30"/>
      <c r="K66" s="30"/>
      <c r="L66" s="30"/>
      <c r="M66" s="30"/>
      <c r="N66" s="30"/>
      <c r="O66" s="30"/>
      <c r="P66" s="30"/>
      <c r="Q66" s="30"/>
      <c r="R66" s="33"/>
      <c r="S66" s="33"/>
      <c r="T66" s="33"/>
      <c r="U66" s="81"/>
      <c r="V66" s="53" t="s">
        <v>63</v>
      </c>
      <c r="X66" s="54">
        <f>X65-W65</f>
        <v>16044623.865029983</v>
      </c>
      <c r="Y66" s="36" t="s">
        <v>64</v>
      </c>
      <c r="Z66" s="55">
        <f>Z65/C65</f>
        <v>7.1521957309638923E-2</v>
      </c>
      <c r="AA66" s="9"/>
      <c r="AB66" s="9"/>
      <c r="AC66" s="9"/>
      <c r="AD66" s="9"/>
      <c r="AE66" s="9"/>
    </row>
    <row r="67" spans="1:35">
      <c r="A67" s="6" t="s">
        <v>90</v>
      </c>
      <c r="B67" s="6"/>
      <c r="C67" s="37"/>
      <c r="D67" s="30"/>
      <c r="E67" s="30"/>
      <c r="F67" s="30"/>
      <c r="G67" s="30"/>
      <c r="H67" s="30"/>
      <c r="I67" s="30"/>
      <c r="J67" s="30"/>
      <c r="K67" s="30"/>
      <c r="L67" s="30"/>
      <c r="M67" s="30"/>
      <c r="N67" s="30"/>
      <c r="O67" s="30"/>
      <c r="P67" s="30"/>
      <c r="Q67" s="30"/>
      <c r="R67" s="33"/>
      <c r="S67" s="33"/>
      <c r="T67" s="33"/>
      <c r="U67" s="33"/>
      <c r="V67" s="56" t="s">
        <v>64</v>
      </c>
      <c r="W67" s="1"/>
      <c r="X67" s="54">
        <f>X66-C65</f>
        <v>721023.86502998322</v>
      </c>
      <c r="Y67" s="54" t="s">
        <v>91</v>
      </c>
      <c r="Z67" s="55">
        <f>X67/C65</f>
        <v>4.7053164075673032E-2</v>
      </c>
      <c r="AA67" s="54"/>
      <c r="AB67" s="9"/>
      <c r="AC67" s="9"/>
      <c r="AD67" s="9"/>
      <c r="AE67" s="9"/>
    </row>
    <row r="68" spans="1:35">
      <c r="A68" t="s">
        <v>92</v>
      </c>
      <c r="C68" s="45">
        <v>15010</v>
      </c>
      <c r="D68" s="30"/>
      <c r="E68" s="30"/>
      <c r="F68" s="30"/>
      <c r="G68" s="30"/>
      <c r="H68" s="30"/>
      <c r="I68" s="30"/>
      <c r="J68" s="30"/>
      <c r="K68" s="30"/>
      <c r="L68" s="30"/>
      <c r="M68" s="30"/>
      <c r="N68" s="30"/>
      <c r="O68" s="30"/>
      <c r="P68" s="30"/>
      <c r="Q68" s="30"/>
      <c r="R68" s="46">
        <f>CapitalGoodsProportion17</f>
        <v>1</v>
      </c>
      <c r="S68" s="46">
        <f>CapitalPI17</f>
        <v>3.4000000000000002E-2</v>
      </c>
      <c r="T68" s="46"/>
      <c r="U68" s="46">
        <f>((1+D68)*E68+(1+F68)*G68+(1+H68)*I68+(1+L68+N68)*M68)*(1+O68)*(1+P68)+R68*(1+S68)-1</f>
        <v>3.400000000000003E-2</v>
      </c>
      <c r="V68" s="14"/>
      <c r="W68" s="14"/>
      <c r="X68" s="45">
        <f>C68*(1+U68)</f>
        <v>15520.34</v>
      </c>
      <c r="Y68" s="14"/>
      <c r="Z68" s="14"/>
      <c r="AB68" s="9"/>
      <c r="AC68" s="9"/>
      <c r="AD68" s="9"/>
      <c r="AE68" s="9"/>
    </row>
    <row r="69" spans="1:35">
      <c r="A69" s="70" t="s">
        <v>93</v>
      </c>
      <c r="B69" s="70"/>
      <c r="C69" s="71">
        <f>SUM(C68)</f>
        <v>15010</v>
      </c>
      <c r="D69" s="30"/>
      <c r="E69" s="30"/>
      <c r="F69" s="30"/>
      <c r="G69" s="30"/>
      <c r="H69" s="30"/>
      <c r="I69" s="30"/>
      <c r="J69" s="30"/>
      <c r="K69" s="30"/>
      <c r="L69" s="30"/>
      <c r="M69" s="30"/>
      <c r="N69" s="30"/>
      <c r="O69" s="30"/>
      <c r="P69" s="30"/>
      <c r="Q69" s="30"/>
      <c r="R69" s="33"/>
      <c r="S69" s="33"/>
      <c r="T69" s="33"/>
      <c r="U69" s="33"/>
      <c r="X69" s="32">
        <f t="array" ref="X69">SUM(C68*(1+U68))</f>
        <v>15520.34</v>
      </c>
      <c r="Z69" s="32">
        <f>X69-C69</f>
        <v>510.34000000000015</v>
      </c>
      <c r="AA69" s="32"/>
      <c r="AB69" s="9"/>
      <c r="AC69" s="9"/>
      <c r="AD69" s="9"/>
      <c r="AE69" s="9"/>
    </row>
    <row r="70" spans="1:35">
      <c r="C70" s="37"/>
      <c r="D70" s="30"/>
      <c r="E70" s="30"/>
      <c r="F70" s="30"/>
      <c r="G70" s="30"/>
      <c r="H70" s="30"/>
      <c r="I70" s="30"/>
      <c r="J70" s="30"/>
      <c r="K70" s="30"/>
      <c r="L70" s="30"/>
      <c r="M70" s="30"/>
      <c r="N70" s="30"/>
      <c r="O70" s="30"/>
      <c r="P70" s="30"/>
      <c r="Q70" s="30"/>
      <c r="R70" s="33"/>
      <c r="S70" s="33"/>
      <c r="T70" s="33"/>
      <c r="U70" s="33"/>
      <c r="Y70" s="36"/>
      <c r="Z70" s="37"/>
      <c r="AA70" s="9"/>
      <c r="AB70" s="9"/>
      <c r="AC70" s="9"/>
      <c r="AD70" s="9"/>
      <c r="AE70" s="9"/>
      <c r="AF70" s="9"/>
      <c r="AG70" s="9"/>
      <c r="AH70" s="9"/>
      <c r="AI70" s="9"/>
    </row>
    <row r="71" spans="1:35">
      <c r="A71" s="6" t="s">
        <v>94</v>
      </c>
      <c r="B71" s="6"/>
      <c r="C71" s="37"/>
      <c r="D71" s="30"/>
      <c r="E71" s="30"/>
      <c r="F71" s="30"/>
      <c r="G71" s="30"/>
      <c r="H71" s="30"/>
      <c r="I71" s="30"/>
      <c r="J71" s="30"/>
      <c r="K71" s="30"/>
      <c r="L71" s="30"/>
      <c r="M71" s="30"/>
      <c r="N71" s="30"/>
      <c r="O71" s="30"/>
      <c r="P71" s="30"/>
      <c r="Q71" s="30"/>
      <c r="R71" s="33"/>
      <c r="S71" s="33"/>
      <c r="T71" s="33"/>
      <c r="U71" s="33"/>
      <c r="AB71" s="9"/>
      <c r="AC71" s="9"/>
      <c r="AD71" s="9"/>
      <c r="AE71" s="9"/>
      <c r="AF71" s="9"/>
      <c r="AG71" s="9"/>
      <c r="AH71" s="9"/>
      <c r="AI71" s="9"/>
    </row>
    <row r="72" spans="1:35">
      <c r="A72" t="s">
        <v>95</v>
      </c>
      <c r="C72" s="35">
        <v>185299</v>
      </c>
      <c r="D72" s="30"/>
      <c r="E72" s="30"/>
      <c r="F72" s="30"/>
      <c r="G72" s="30"/>
      <c r="H72" s="30"/>
      <c r="I72" s="30"/>
      <c r="J72" s="30"/>
      <c r="K72" s="30"/>
      <c r="L72" s="30"/>
      <c r="M72" s="30"/>
      <c r="N72" s="30"/>
      <c r="O72" s="30"/>
      <c r="P72" s="30"/>
      <c r="Q72" s="30"/>
      <c r="R72" s="33">
        <f t="shared" ref="R72:R78" si="17">CapitalGoodsProportion17</f>
        <v>1</v>
      </c>
      <c r="S72" s="33">
        <f t="shared" ref="S72:S78" si="18">CapitalPI17</f>
        <v>3.4000000000000002E-2</v>
      </c>
      <c r="T72" s="33"/>
      <c r="U72" s="33">
        <f t="shared" ref="U72:U78" si="19">((1+D72)*E72+(1+F72)*G72+(1+H72)*I72+(1+L72+N72)*M72)*(1+O72)*(1+P72)+R72*(1+S72)-1</f>
        <v>3.400000000000003E-2</v>
      </c>
      <c r="X72" s="35">
        <f t="shared" ref="X72:X78" si="20">C72*(1+U72)</f>
        <v>191599.166</v>
      </c>
      <c r="AB72" s="9"/>
      <c r="AC72" s="9"/>
      <c r="AD72" s="9"/>
      <c r="AE72" s="9"/>
      <c r="AF72" s="9"/>
      <c r="AG72" s="9"/>
      <c r="AH72" s="9"/>
      <c r="AI72" s="9"/>
    </row>
    <row r="73" spans="1:35">
      <c r="A73" s="82" t="s">
        <v>96</v>
      </c>
      <c r="C73" s="35">
        <v>402397</v>
      </c>
      <c r="D73" s="30"/>
      <c r="E73" s="30"/>
      <c r="F73" s="30"/>
      <c r="G73" s="30"/>
      <c r="H73" s="30"/>
      <c r="I73" s="30"/>
      <c r="J73" s="30"/>
      <c r="K73" s="30"/>
      <c r="L73" s="30"/>
      <c r="M73" s="30"/>
      <c r="N73" s="30"/>
      <c r="O73" s="30"/>
      <c r="P73" s="30"/>
      <c r="Q73" s="30"/>
      <c r="R73" s="33">
        <f t="shared" si="17"/>
        <v>1</v>
      </c>
      <c r="S73" s="33">
        <f t="shared" si="18"/>
        <v>3.4000000000000002E-2</v>
      </c>
      <c r="T73" s="33"/>
      <c r="U73" s="33">
        <f t="shared" si="19"/>
        <v>3.400000000000003E-2</v>
      </c>
      <c r="X73" s="35">
        <f t="shared" si="20"/>
        <v>416078.49800000002</v>
      </c>
      <c r="AB73" s="9"/>
      <c r="AC73" s="9"/>
      <c r="AD73" s="9"/>
      <c r="AE73" s="9"/>
      <c r="AF73" s="9"/>
      <c r="AG73" s="9"/>
      <c r="AH73" s="9"/>
      <c r="AI73" s="9"/>
    </row>
    <row r="74" spans="1:35">
      <c r="A74" s="82" t="s">
        <v>97</v>
      </c>
      <c r="C74" s="35">
        <v>60500</v>
      </c>
      <c r="D74" s="30"/>
      <c r="E74" s="30"/>
      <c r="F74" s="30"/>
      <c r="G74" s="30"/>
      <c r="H74" s="30"/>
      <c r="I74" s="30"/>
      <c r="J74" s="30"/>
      <c r="K74" s="30"/>
      <c r="L74" s="30"/>
      <c r="M74" s="30"/>
      <c r="N74" s="30"/>
      <c r="O74" s="30"/>
      <c r="P74" s="30"/>
      <c r="Q74" s="30"/>
      <c r="R74" s="33">
        <f t="shared" si="17"/>
        <v>1</v>
      </c>
      <c r="S74" s="33">
        <f t="shared" si="18"/>
        <v>3.4000000000000002E-2</v>
      </c>
      <c r="T74" s="33"/>
      <c r="U74" s="33">
        <f t="shared" si="19"/>
        <v>3.400000000000003E-2</v>
      </c>
      <c r="X74" s="35">
        <f t="shared" si="20"/>
        <v>62557</v>
      </c>
      <c r="AB74" s="9"/>
      <c r="AC74" s="9"/>
      <c r="AD74" s="9"/>
      <c r="AE74" s="9"/>
      <c r="AF74" s="9"/>
      <c r="AG74" s="9"/>
      <c r="AH74" s="9"/>
      <c r="AI74" s="9"/>
    </row>
    <row r="75" spans="1:35">
      <c r="A75" t="s">
        <v>98</v>
      </c>
      <c r="C75" s="35">
        <v>0</v>
      </c>
      <c r="D75" s="30"/>
      <c r="E75" s="30"/>
      <c r="F75" s="30"/>
      <c r="G75" s="30"/>
      <c r="H75" s="30"/>
      <c r="I75" s="30"/>
      <c r="J75" s="30"/>
      <c r="K75" s="30"/>
      <c r="L75" s="30"/>
      <c r="M75" s="30"/>
      <c r="N75" s="30"/>
      <c r="O75" s="30"/>
      <c r="P75" s="30"/>
      <c r="Q75" s="30"/>
      <c r="R75" s="33">
        <f t="shared" si="17"/>
        <v>1</v>
      </c>
      <c r="S75" s="33">
        <f t="shared" si="18"/>
        <v>3.4000000000000002E-2</v>
      </c>
      <c r="T75" s="33"/>
      <c r="U75" s="33">
        <f t="shared" si="19"/>
        <v>3.400000000000003E-2</v>
      </c>
      <c r="X75" s="35">
        <f t="shared" si="20"/>
        <v>0</v>
      </c>
      <c r="AB75" s="9"/>
      <c r="AC75" s="9"/>
      <c r="AD75" s="9"/>
      <c r="AE75" s="9"/>
      <c r="AF75" s="9"/>
      <c r="AG75" s="9"/>
      <c r="AH75" s="9"/>
      <c r="AI75" s="9"/>
    </row>
    <row r="76" spans="1:35">
      <c r="A76" t="s">
        <v>99</v>
      </c>
      <c r="C76" s="35">
        <v>15000</v>
      </c>
      <c r="D76" s="30"/>
      <c r="E76" s="30"/>
      <c r="F76" s="30"/>
      <c r="G76" s="30"/>
      <c r="H76" s="30"/>
      <c r="I76" s="30"/>
      <c r="J76" s="30"/>
      <c r="K76" s="30"/>
      <c r="L76" s="30"/>
      <c r="M76" s="30"/>
      <c r="N76" s="30"/>
      <c r="O76" s="30"/>
      <c r="P76" s="30"/>
      <c r="Q76" s="30"/>
      <c r="R76" s="33">
        <f t="shared" si="17"/>
        <v>1</v>
      </c>
      <c r="S76" s="33">
        <f t="shared" si="18"/>
        <v>3.4000000000000002E-2</v>
      </c>
      <c r="T76" s="33"/>
      <c r="U76" s="33">
        <f t="shared" si="19"/>
        <v>3.400000000000003E-2</v>
      </c>
      <c r="X76" s="35">
        <f t="shared" si="20"/>
        <v>15510</v>
      </c>
      <c r="AB76" s="9"/>
      <c r="AC76" s="9"/>
      <c r="AD76" s="9"/>
      <c r="AE76" s="9"/>
      <c r="AF76" s="9"/>
      <c r="AG76" s="9"/>
      <c r="AH76" s="9"/>
      <c r="AI76" s="9"/>
    </row>
    <row r="77" spans="1:35">
      <c r="A77" t="s">
        <v>100</v>
      </c>
      <c r="C77" s="35">
        <v>50000</v>
      </c>
      <c r="D77" s="30"/>
      <c r="E77" s="30"/>
      <c r="F77" s="30"/>
      <c r="G77" s="30"/>
      <c r="H77" s="30"/>
      <c r="I77" s="30"/>
      <c r="J77" s="30"/>
      <c r="K77" s="30"/>
      <c r="L77" s="30"/>
      <c r="M77" s="30"/>
      <c r="N77" s="30"/>
      <c r="O77" s="30"/>
      <c r="P77" s="30"/>
      <c r="Q77" s="30"/>
      <c r="R77" s="33">
        <f t="shared" si="17"/>
        <v>1</v>
      </c>
      <c r="S77" s="33">
        <f t="shared" si="18"/>
        <v>3.4000000000000002E-2</v>
      </c>
      <c r="T77" s="33"/>
      <c r="U77" s="33">
        <f t="shared" si="19"/>
        <v>3.400000000000003E-2</v>
      </c>
      <c r="X77" s="35">
        <f t="shared" si="20"/>
        <v>51700</v>
      </c>
      <c r="AB77" s="9"/>
      <c r="AC77" s="9"/>
      <c r="AD77" s="9"/>
      <c r="AE77" s="9"/>
      <c r="AF77" s="9"/>
      <c r="AG77" s="9"/>
      <c r="AH77" s="9"/>
      <c r="AI77" s="9"/>
    </row>
    <row r="78" spans="1:35">
      <c r="A78" t="s">
        <v>101</v>
      </c>
      <c r="C78" s="45">
        <v>90000</v>
      </c>
      <c r="D78" s="30"/>
      <c r="E78" s="30"/>
      <c r="F78" s="30"/>
      <c r="G78" s="30"/>
      <c r="H78" s="30"/>
      <c r="I78" s="30"/>
      <c r="J78" s="30"/>
      <c r="K78" s="30"/>
      <c r="L78" s="30"/>
      <c r="M78" s="30"/>
      <c r="N78" s="30"/>
      <c r="O78" s="30"/>
      <c r="P78" s="30"/>
      <c r="Q78" s="30"/>
      <c r="R78" s="46">
        <f t="shared" si="17"/>
        <v>1</v>
      </c>
      <c r="S78" s="46">
        <f t="shared" si="18"/>
        <v>3.4000000000000002E-2</v>
      </c>
      <c r="T78" s="46"/>
      <c r="U78" s="46">
        <f t="shared" si="19"/>
        <v>3.400000000000003E-2</v>
      </c>
      <c r="V78" s="14"/>
      <c r="W78" s="14"/>
      <c r="X78" s="45">
        <f t="shared" si="20"/>
        <v>93060</v>
      </c>
      <c r="Y78" s="14"/>
      <c r="Z78" s="14"/>
      <c r="AB78" s="9"/>
      <c r="AC78" s="9"/>
      <c r="AD78" s="9"/>
      <c r="AE78" s="9"/>
      <c r="AF78" s="9"/>
      <c r="AG78" s="9"/>
      <c r="AH78" s="9"/>
      <c r="AI78" s="9"/>
    </row>
    <row r="79" spans="1:35">
      <c r="A79" s="70" t="s">
        <v>102</v>
      </c>
      <c r="B79" s="70"/>
      <c r="C79" s="71">
        <f>SUM(C72:C78)</f>
        <v>803196</v>
      </c>
      <c r="D79" s="30"/>
      <c r="E79" s="30"/>
      <c r="F79" s="30"/>
      <c r="G79" s="30"/>
      <c r="H79" s="30"/>
      <c r="I79" s="30"/>
      <c r="J79" s="30"/>
      <c r="K79" s="30"/>
      <c r="L79" s="30"/>
      <c r="M79" s="30"/>
      <c r="N79" s="30"/>
      <c r="O79" s="30"/>
      <c r="P79" s="30"/>
      <c r="Q79" s="30"/>
      <c r="R79" s="33"/>
      <c r="S79" s="33"/>
      <c r="T79" s="33"/>
      <c r="U79" s="33"/>
      <c r="X79" s="32">
        <f t="array" ref="X79">SUM(C72:C78*(1+U72:U78))</f>
        <v>830504.66399999999</v>
      </c>
      <c r="Z79" s="32">
        <f>X79-C79</f>
        <v>27308.66399999999</v>
      </c>
      <c r="AA79" s="32"/>
      <c r="AB79" s="9"/>
      <c r="AC79" s="9"/>
      <c r="AD79" s="9"/>
      <c r="AE79" s="9"/>
      <c r="AF79" s="9"/>
      <c r="AG79" s="9"/>
      <c r="AH79" s="9"/>
      <c r="AI79" s="9"/>
    </row>
    <row r="80" spans="1:35">
      <c r="A80" s="74"/>
      <c r="B80" s="74"/>
      <c r="C80" s="72"/>
      <c r="D80" s="30"/>
      <c r="E80" s="30"/>
      <c r="F80" s="30"/>
      <c r="G80" s="30"/>
      <c r="H80" s="30"/>
      <c r="I80" s="30"/>
      <c r="J80" s="30"/>
      <c r="K80" s="30"/>
      <c r="L80" s="30"/>
      <c r="M80" s="30"/>
      <c r="N80" s="30"/>
      <c r="O80" s="30"/>
      <c r="P80" s="30"/>
      <c r="Q80" s="30"/>
      <c r="R80" s="33"/>
      <c r="S80" s="33"/>
      <c r="T80" s="33"/>
      <c r="U80" s="33"/>
      <c r="Y80" s="36"/>
      <c r="Z80" s="37"/>
      <c r="AA80" s="9"/>
      <c r="AB80" s="9"/>
      <c r="AC80" s="9"/>
      <c r="AD80" s="9"/>
      <c r="AE80" s="9"/>
      <c r="AF80" s="9"/>
      <c r="AG80" s="9"/>
      <c r="AH80" s="9"/>
      <c r="AI80" s="9"/>
    </row>
    <row r="81" spans="1:35">
      <c r="A81" s="75" t="s">
        <v>103</v>
      </c>
      <c r="B81" s="75"/>
      <c r="C81" s="76">
        <f>C79+C69</f>
        <v>818206</v>
      </c>
      <c r="D81" s="77"/>
      <c r="E81" s="77"/>
      <c r="F81" s="77"/>
      <c r="G81" s="77"/>
      <c r="H81" s="77"/>
      <c r="I81" s="77"/>
      <c r="J81" s="77"/>
      <c r="K81" s="77"/>
      <c r="L81" s="77"/>
      <c r="M81" s="77"/>
      <c r="N81" s="77"/>
      <c r="O81" s="77"/>
      <c r="P81" s="77"/>
      <c r="Q81" s="77"/>
      <c r="R81" s="78"/>
      <c r="S81" s="78"/>
      <c r="T81" s="78"/>
      <c r="U81" s="79">
        <f t="array" ref="U81">SUM(C68*U68,C72:C76*U72:U76)/SUM(C68,C72:C76)</f>
        <v>3.400000000000003E-2</v>
      </c>
      <c r="V81" s="83"/>
      <c r="W81" s="83"/>
      <c r="X81" s="76">
        <f>X79+X69</f>
        <v>846025.00399999996</v>
      </c>
      <c r="Y81" s="76">
        <f>X81</f>
        <v>846025.00399999996</v>
      </c>
      <c r="Z81" s="76">
        <f>Z79+Z69</f>
        <v>27819.00399999999</v>
      </c>
      <c r="AA81" s="72"/>
      <c r="AB81" s="9"/>
      <c r="AC81" s="9"/>
      <c r="AD81" s="9"/>
      <c r="AE81" s="9"/>
      <c r="AF81" s="9"/>
      <c r="AG81" s="9"/>
      <c r="AH81" s="9"/>
      <c r="AI81" s="9"/>
    </row>
    <row r="82" spans="1:35">
      <c r="D82" s="30"/>
      <c r="E82" s="30"/>
      <c r="F82" s="30"/>
      <c r="G82" s="30"/>
      <c r="H82" s="30"/>
      <c r="I82" s="30"/>
      <c r="J82" s="30"/>
      <c r="K82" s="30"/>
      <c r="L82" s="30"/>
      <c r="M82" s="30"/>
      <c r="N82" s="30"/>
      <c r="O82" s="30"/>
      <c r="P82" s="30"/>
      <c r="Q82" s="30"/>
      <c r="R82" s="33"/>
      <c r="S82" s="33"/>
      <c r="T82" s="33"/>
      <c r="U82" s="33"/>
      <c r="Z82" s="37"/>
      <c r="AA82" s="37"/>
      <c r="AB82" s="9"/>
      <c r="AC82" s="9"/>
      <c r="AD82" s="9"/>
      <c r="AE82" s="9"/>
      <c r="AF82" s="9"/>
      <c r="AG82" s="9"/>
      <c r="AH82" s="9"/>
      <c r="AI82" s="9"/>
    </row>
    <row r="83" spans="1:35" ht="15.75" thickBot="1">
      <c r="A83" s="84" t="s">
        <v>104</v>
      </c>
      <c r="B83" s="84"/>
      <c r="C83" s="85">
        <f>C81+C65</f>
        <v>16141806</v>
      </c>
      <c r="D83" s="86"/>
      <c r="E83" s="86"/>
      <c r="F83" s="86"/>
      <c r="G83" s="86"/>
      <c r="H83" s="86"/>
      <c r="I83" s="86"/>
      <c r="J83" s="86"/>
      <c r="K83" s="86"/>
      <c r="L83" s="86"/>
      <c r="M83" s="86"/>
      <c r="N83" s="86"/>
      <c r="O83" s="86"/>
      <c r="P83" s="86"/>
      <c r="Q83" s="86"/>
      <c r="R83" s="87"/>
      <c r="S83" s="87"/>
      <c r="T83" s="87"/>
      <c r="U83" s="88">
        <f>(C65*U65+C81*U81)/(C65+C81)</f>
        <v>4.6406397997765185E-2</v>
      </c>
      <c r="V83" s="89"/>
      <c r="W83" s="89"/>
      <c r="X83" s="89"/>
      <c r="Y83" s="85">
        <f>Y81+Y65</f>
        <v>17265598.869029984</v>
      </c>
      <c r="Z83" s="85">
        <f>Z81+Z65</f>
        <v>1123792.8690299829</v>
      </c>
      <c r="AA83" s="72"/>
      <c r="AB83" s="9"/>
      <c r="AC83" s="9"/>
      <c r="AD83" s="9"/>
      <c r="AE83" s="9"/>
      <c r="AF83" s="9"/>
      <c r="AG83" s="9"/>
      <c r="AH83" s="9"/>
      <c r="AI83" s="9"/>
    </row>
    <row r="84" spans="1:35" ht="15.75" thickTop="1">
      <c r="Z84" s="37"/>
      <c r="AA84" s="37"/>
      <c r="AB84" s="9"/>
      <c r="AC84" s="9"/>
      <c r="AD84" s="9"/>
      <c r="AE84" s="9"/>
      <c r="AF84" s="9"/>
      <c r="AG84" s="9"/>
      <c r="AH84" s="9"/>
      <c r="AI84" s="9"/>
    </row>
    <row r="85" spans="1:35">
      <c r="A85" s="90" t="s">
        <v>20</v>
      </c>
      <c r="B85" s="91" t="s">
        <v>105</v>
      </c>
      <c r="C85" s="91" t="s">
        <v>106</v>
      </c>
      <c r="D85" s="91" t="s">
        <v>107</v>
      </c>
      <c r="AB85" s="9"/>
      <c r="AC85" s="9"/>
      <c r="AD85" s="9"/>
      <c r="AE85" s="9"/>
      <c r="AF85" s="9"/>
      <c r="AG85" s="9"/>
      <c r="AH85" s="9"/>
      <c r="AI85" s="9"/>
    </row>
    <row r="86" spans="1:35">
      <c r="A86" t="s">
        <v>108</v>
      </c>
      <c r="B86" t="s">
        <v>109</v>
      </c>
      <c r="C86" s="35">
        <f>'Notes 2017-18 pre-Budget'!C3</f>
        <v>303000</v>
      </c>
      <c r="E86" t="s">
        <v>110</v>
      </c>
    </row>
    <row r="87" spans="1:35">
      <c r="A87" t="s">
        <v>111</v>
      </c>
      <c r="B87" t="s">
        <v>109</v>
      </c>
      <c r="C87" s="35">
        <f>-ROUND('Notes 2017-18 pre-Budget'!G14/1000,0)*1000</f>
        <v>-26000</v>
      </c>
      <c r="E87" t="s">
        <v>112</v>
      </c>
    </row>
    <row r="88" spans="1:35">
      <c r="A88" t="s">
        <v>113</v>
      </c>
      <c r="B88" s="92" t="s">
        <v>41</v>
      </c>
      <c r="C88" s="35">
        <f>'Notes 2017-18 pre-Budget'!O44</f>
        <v>52400</v>
      </c>
      <c r="E88" t="s">
        <v>114</v>
      </c>
    </row>
    <row r="89" spans="1:35">
      <c r="A89" t="s">
        <v>115</v>
      </c>
      <c r="B89" t="s">
        <v>41</v>
      </c>
      <c r="C89" s="35">
        <f>7500/5</f>
        <v>1500</v>
      </c>
      <c r="E89" t="s">
        <v>116</v>
      </c>
      <c r="S89" s="93" t="s">
        <v>117</v>
      </c>
    </row>
    <row r="90" spans="1:35">
      <c r="A90" t="s">
        <v>118</v>
      </c>
      <c r="B90" t="s">
        <v>109</v>
      </c>
      <c r="C90" s="35">
        <f>D90/4</f>
        <v>13050</v>
      </c>
      <c r="D90" s="37">
        <v>52200</v>
      </c>
      <c r="E90" t="s">
        <v>119</v>
      </c>
      <c r="AC90" t="s">
        <v>120</v>
      </c>
    </row>
    <row r="91" spans="1:35">
      <c r="A91" t="s">
        <v>121</v>
      </c>
      <c r="B91" t="s">
        <v>122</v>
      </c>
      <c r="C91" s="35">
        <v>20000</v>
      </c>
      <c r="D91" s="35">
        <v>60000</v>
      </c>
      <c r="E91" t="s">
        <v>123</v>
      </c>
      <c r="Q91" s="94"/>
      <c r="AE91" s="93" t="s">
        <v>124</v>
      </c>
    </row>
    <row r="92" spans="1:35">
      <c r="A92" t="s">
        <v>121</v>
      </c>
      <c r="B92" t="s">
        <v>41</v>
      </c>
      <c r="C92" s="35">
        <v>11000</v>
      </c>
    </row>
    <row r="93" spans="1:35">
      <c r="P93" s="94"/>
    </row>
    <row r="94" spans="1:35">
      <c r="A94" s="70" t="s">
        <v>125</v>
      </c>
      <c r="B94" s="70"/>
      <c r="C94" s="71">
        <f>SUM(C86:C93)</f>
        <v>374950</v>
      </c>
      <c r="P94" s="94"/>
    </row>
    <row r="96" spans="1:35">
      <c r="A96" t="s">
        <v>126</v>
      </c>
      <c r="B96" t="s">
        <v>109</v>
      </c>
      <c r="C96" s="35">
        <v>80000</v>
      </c>
      <c r="D96" s="35"/>
      <c r="E96" t="s">
        <v>127</v>
      </c>
    </row>
  </sheetData>
  <mergeCells count="1">
    <mergeCell ref="D1:Z1"/>
  </mergeCells>
  <hyperlinks>
    <hyperlink ref="S89" r:id="rId1"/>
  </hyperlinks>
  <pageMargins left="0.25" right="0.25" top="0.75" bottom="0.75" header="0.3" footer="0.3"/>
  <pageSetup paperSize="8" scale="45" orientation="landscape"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85"/>
  <sheetViews>
    <sheetView workbookViewId="0">
      <pane xSplit="1" ySplit="2" topLeftCell="B3" activePane="bottomRight" state="frozen"/>
      <selection activeCell="A3" sqref="A3"/>
      <selection pane="topRight" activeCell="A3" sqref="A3"/>
      <selection pane="bottomLeft" activeCell="A3" sqref="A3"/>
      <selection pane="bottomRight" activeCell="B118" sqref="B118"/>
    </sheetView>
  </sheetViews>
  <sheetFormatPr defaultRowHeight="15"/>
  <cols>
    <col min="1" max="1" width="52.7109375" customWidth="1"/>
    <col min="2" max="11" width="10.28515625" customWidth="1"/>
    <col min="13" max="13" width="32.7109375" customWidth="1"/>
    <col min="24" max="24" width="10.140625" customWidth="1"/>
    <col min="25" max="25" width="12.140625" bestFit="1" customWidth="1"/>
  </cols>
  <sheetData>
    <row r="1" spans="1:23">
      <c r="A1" t="s">
        <v>128</v>
      </c>
      <c r="G1" t="s">
        <v>129</v>
      </c>
    </row>
    <row r="2" spans="1:23">
      <c r="B2" s="91">
        <v>2008</v>
      </c>
      <c r="C2" s="91">
        <v>2009</v>
      </c>
      <c r="D2" s="91">
        <v>2010</v>
      </c>
      <c r="E2" s="91">
        <v>2011</v>
      </c>
      <c r="F2" s="91">
        <v>2012</v>
      </c>
      <c r="G2" s="91">
        <v>2013</v>
      </c>
      <c r="H2" s="91">
        <v>2014</v>
      </c>
      <c r="I2" s="91">
        <v>2015</v>
      </c>
      <c r="J2" s="91">
        <v>2016</v>
      </c>
      <c r="K2" s="91">
        <v>2017</v>
      </c>
      <c r="N2" s="91">
        <v>2008</v>
      </c>
      <c r="O2" s="91">
        <v>2009</v>
      </c>
      <c r="P2" s="91">
        <v>2010</v>
      </c>
      <c r="Q2" s="91">
        <v>2011</v>
      </c>
      <c r="R2" s="91">
        <v>2012</v>
      </c>
      <c r="S2" s="91">
        <v>2013</v>
      </c>
      <c r="T2" s="91">
        <v>2014</v>
      </c>
      <c r="U2" s="91">
        <v>2015</v>
      </c>
      <c r="V2" s="91">
        <v>2016</v>
      </c>
      <c r="W2" s="91">
        <v>2017</v>
      </c>
    </row>
    <row r="3" spans="1:23">
      <c r="A3" s="95" t="s">
        <v>130</v>
      </c>
      <c r="K3" s="96" t="s">
        <v>131</v>
      </c>
      <c r="M3" s="95" t="s">
        <v>132</v>
      </c>
      <c r="N3" s="14"/>
      <c r="O3" s="14"/>
      <c r="W3" s="96" t="s">
        <v>131</v>
      </c>
    </row>
    <row r="4" spans="1:23">
      <c r="A4" s="97" t="s">
        <v>133</v>
      </c>
      <c r="B4" s="98">
        <v>3169.3522675000072</v>
      </c>
      <c r="C4" s="98">
        <v>3412.2580552999984</v>
      </c>
      <c r="D4" s="98">
        <v>3608.8988423999972</v>
      </c>
      <c r="E4" s="98">
        <v>3757.1738137000002</v>
      </c>
      <c r="F4" s="98">
        <v>3744.4699017500002</v>
      </c>
      <c r="G4" s="98">
        <v>3952.9652953600003</v>
      </c>
      <c r="H4" s="98">
        <v>3964.3702581899993</v>
      </c>
      <c r="I4" s="98">
        <v>4009.5980555200003</v>
      </c>
      <c r="J4" s="98">
        <v>4059</v>
      </c>
      <c r="K4" s="98">
        <v>4235</v>
      </c>
      <c r="M4" s="97" t="s">
        <v>133</v>
      </c>
      <c r="N4" s="99">
        <f>B4/SUM(B$4:B$8)</f>
        <v>0.68962699135701466</v>
      </c>
      <c r="O4" s="99">
        <f t="shared" ref="O4:W8" si="0">C4/SUM(C$4:C$8)</f>
        <v>0.68970684096293122</v>
      </c>
      <c r="P4" s="99">
        <f t="shared" si="0"/>
        <v>0.69036679324770134</v>
      </c>
      <c r="Q4" s="99">
        <f t="shared" si="0"/>
        <v>0.69068131172045999</v>
      </c>
      <c r="R4" s="99">
        <f t="shared" si="0"/>
        <v>0.6790534067545464</v>
      </c>
      <c r="S4" s="99">
        <f t="shared" si="0"/>
        <v>0.68375581286244602</v>
      </c>
      <c r="T4" s="99">
        <f t="shared" si="0"/>
        <v>0.68053475067839464</v>
      </c>
      <c r="U4" s="99">
        <f t="shared" si="0"/>
        <v>0.6798857213836228</v>
      </c>
      <c r="V4" s="99">
        <f t="shared" si="0"/>
        <v>0.67458866544789764</v>
      </c>
      <c r="W4" s="99">
        <f t="shared" si="0"/>
        <v>0.67254248054629184</v>
      </c>
    </row>
    <row r="5" spans="1:23">
      <c r="A5" s="97" t="s">
        <v>134</v>
      </c>
      <c r="B5" s="98">
        <v>369.33082660000082</v>
      </c>
      <c r="C5" s="98">
        <v>398.9549701999984</v>
      </c>
      <c r="D5" s="98">
        <v>409.11966479999995</v>
      </c>
      <c r="E5" s="98">
        <v>433.31928269999997</v>
      </c>
      <c r="F5" s="98">
        <v>424.96506598999997</v>
      </c>
      <c r="G5" s="98">
        <v>425.04662602999997</v>
      </c>
      <c r="H5" s="98">
        <v>430.47703271999995</v>
      </c>
      <c r="I5" s="98">
        <v>427.98996146999997</v>
      </c>
      <c r="J5" s="98">
        <v>440</v>
      </c>
      <c r="K5" s="98">
        <v>465</v>
      </c>
      <c r="M5" s="97" t="s">
        <v>134</v>
      </c>
      <c r="N5" s="99">
        <f>B5/SUM(B$4:B$8)</f>
        <v>8.0363583870235497E-2</v>
      </c>
      <c r="O5" s="99">
        <f t="shared" si="0"/>
        <v>8.0639262249147109E-2</v>
      </c>
      <c r="P5" s="99">
        <f t="shared" si="0"/>
        <v>7.8262828462855968E-2</v>
      </c>
      <c r="Q5" s="99">
        <f t="shared" si="0"/>
        <v>7.9657089453168933E-2</v>
      </c>
      <c r="R5" s="99">
        <f t="shared" si="0"/>
        <v>7.7066709943993228E-2</v>
      </c>
      <c r="S5" s="99">
        <f t="shared" si="0"/>
        <v>7.3521541316520708E-2</v>
      </c>
      <c r="T5" s="99">
        <f t="shared" si="0"/>
        <v>7.3896876693004376E-2</v>
      </c>
      <c r="U5" s="99">
        <f t="shared" si="0"/>
        <v>7.2571928574831288E-2</v>
      </c>
      <c r="V5" s="99">
        <f t="shared" si="0"/>
        <v>7.3126142595978064E-2</v>
      </c>
      <c r="W5" s="99">
        <f t="shared" si="0"/>
        <v>7.3844687946641258E-2</v>
      </c>
    </row>
    <row r="6" spans="1:23">
      <c r="A6" s="97" t="s">
        <v>135</v>
      </c>
      <c r="B6" s="98">
        <v>9.8631647999999981</v>
      </c>
      <c r="C6" s="98">
        <v>19.626165700000008</v>
      </c>
      <c r="D6" s="98">
        <v>19.804498099999993</v>
      </c>
      <c r="E6" s="98">
        <v>16.7171238</v>
      </c>
      <c r="F6" s="98">
        <v>17.087073750000002</v>
      </c>
      <c r="G6" s="98">
        <v>17.772875489999997</v>
      </c>
      <c r="H6" s="98">
        <v>19.102883459999997</v>
      </c>
      <c r="I6" s="98">
        <v>19.414962199999994</v>
      </c>
      <c r="J6" s="98">
        <v>26</v>
      </c>
      <c r="K6" s="98">
        <v>29</v>
      </c>
      <c r="M6" s="97" t="s">
        <v>135</v>
      </c>
      <c r="N6" s="99">
        <f>B6/SUM(B$4:B$8)</f>
        <v>2.1461497783103072E-3</v>
      </c>
      <c r="O6" s="99">
        <f t="shared" si="0"/>
        <v>3.9669627929039969E-3</v>
      </c>
      <c r="P6" s="99">
        <f t="shared" si="0"/>
        <v>3.7885151239331395E-3</v>
      </c>
      <c r="Q6" s="99">
        <f t="shared" si="0"/>
        <v>3.0731090886122235E-3</v>
      </c>
      <c r="R6" s="99">
        <f t="shared" si="0"/>
        <v>3.0987124869079428E-3</v>
      </c>
      <c r="S6" s="99">
        <f t="shared" si="0"/>
        <v>3.0742255546317085E-3</v>
      </c>
      <c r="T6" s="99">
        <f t="shared" si="0"/>
        <v>3.279253749276431E-3</v>
      </c>
      <c r="U6" s="99">
        <f t="shared" si="0"/>
        <v>3.2920894808422083E-3</v>
      </c>
      <c r="V6" s="99">
        <f t="shared" si="0"/>
        <v>4.321090244307795E-3</v>
      </c>
      <c r="W6" s="99">
        <f t="shared" si="0"/>
        <v>4.6053676353819276E-3</v>
      </c>
    </row>
    <row r="7" spans="1:23">
      <c r="A7" s="97" t="s">
        <v>136</v>
      </c>
      <c r="B7" s="98">
        <v>1010.285536900001</v>
      </c>
      <c r="C7" s="98">
        <v>1074.3105425999979</v>
      </c>
      <c r="D7" s="98">
        <v>1146.5860240999978</v>
      </c>
      <c r="E7" s="98">
        <v>1190.2300263</v>
      </c>
      <c r="F7" s="98">
        <v>1284.7223628300001</v>
      </c>
      <c r="G7" s="98">
        <v>1341.3879435000001</v>
      </c>
      <c r="H7" s="98">
        <v>1366.92075611</v>
      </c>
      <c r="I7" s="98">
        <v>1396.3204920299997</v>
      </c>
      <c r="J7" s="98">
        <v>1449</v>
      </c>
      <c r="K7" s="98">
        <v>1521</v>
      </c>
      <c r="M7" s="97" t="s">
        <v>136</v>
      </c>
      <c r="N7" s="99">
        <f>B7/SUM(B$4:B$8)</f>
        <v>0.21983046263690612</v>
      </c>
      <c r="O7" s="99">
        <f t="shared" si="0"/>
        <v>0.21714633493177396</v>
      </c>
      <c r="P7" s="99">
        <f t="shared" si="0"/>
        <v>0.21933696432292876</v>
      </c>
      <c r="Q7" s="99">
        <f t="shared" si="0"/>
        <v>0.21880000143096959</v>
      </c>
      <c r="R7" s="99">
        <f t="shared" si="0"/>
        <v>0.23298226988171089</v>
      </c>
      <c r="S7" s="99">
        <f t="shared" si="0"/>
        <v>0.23202374297298223</v>
      </c>
      <c r="T7" s="99">
        <f t="shared" si="0"/>
        <v>0.23464939331402337</v>
      </c>
      <c r="U7" s="99">
        <f t="shared" si="0"/>
        <v>0.23676646682816513</v>
      </c>
      <c r="V7" s="99">
        <f t="shared" si="0"/>
        <v>0.24081768323084593</v>
      </c>
      <c r="W7" s="99">
        <f t="shared" si="0"/>
        <v>0.24154359218675558</v>
      </c>
    </row>
    <row r="8" spans="1:23">
      <c r="A8" s="97" t="s">
        <v>137</v>
      </c>
      <c r="B8" s="98">
        <v>36.916785999999973</v>
      </c>
      <c r="C8" s="98">
        <v>42.253789900000008</v>
      </c>
      <c r="D8" s="98">
        <v>43.100285500000012</v>
      </c>
      <c r="E8" s="98">
        <v>42.367882000000002</v>
      </c>
      <c r="F8" s="98">
        <v>43.005085489999999</v>
      </c>
      <c r="G8" s="98">
        <v>44.080187930000001</v>
      </c>
      <c r="H8" s="98">
        <v>44.504267829999996</v>
      </c>
      <c r="I8" s="98">
        <v>44.135365479999997</v>
      </c>
      <c r="J8" s="98">
        <v>43</v>
      </c>
      <c r="K8" s="98">
        <v>47</v>
      </c>
      <c r="M8" s="97" t="s">
        <v>137</v>
      </c>
      <c r="N8" s="99">
        <f>B8/SUM(B$4:B$8)</f>
        <v>8.032812357533458E-3</v>
      </c>
      <c r="O8" s="99">
        <f t="shared" si="0"/>
        <v>8.5405990632435487E-3</v>
      </c>
      <c r="P8" s="99">
        <f t="shared" si="0"/>
        <v>8.2448988425809343E-3</v>
      </c>
      <c r="Q8" s="99">
        <f t="shared" si="0"/>
        <v>7.7884883067893679E-3</v>
      </c>
      <c r="R8" s="99">
        <f t="shared" si="0"/>
        <v>7.7989009328415038E-3</v>
      </c>
      <c r="S8" s="99">
        <f t="shared" si="0"/>
        <v>7.6246772934194578E-3</v>
      </c>
      <c r="T8" s="99">
        <f t="shared" si="0"/>
        <v>7.6397255653011227E-3</v>
      </c>
      <c r="U8" s="99">
        <f t="shared" si="0"/>
        <v>7.4837937325386268E-3</v>
      </c>
      <c r="V8" s="99">
        <f t="shared" si="0"/>
        <v>7.1464184809705835E-3</v>
      </c>
      <c r="W8" s="99">
        <f t="shared" si="0"/>
        <v>7.4638716849293315E-3</v>
      </c>
    </row>
    <row r="10" spans="1:23">
      <c r="A10" s="95" t="s">
        <v>138</v>
      </c>
      <c r="M10" s="100"/>
    </row>
    <row r="11" spans="1:23">
      <c r="A11" s="101" t="s">
        <v>139</v>
      </c>
      <c r="B11" s="99">
        <v>0.63742425129944935</v>
      </c>
      <c r="C11" s="99">
        <v>0.63352372841986981</v>
      </c>
      <c r="D11" s="99">
        <v>0.64217050531365472</v>
      </c>
      <c r="E11" s="99">
        <v>0.62140992373963688</v>
      </c>
      <c r="F11" s="99">
        <v>0.6583331851866957</v>
      </c>
      <c r="G11" s="99">
        <v>0.60732198864281317</v>
      </c>
      <c r="H11" s="99">
        <v>0.61470414280027563</v>
      </c>
      <c r="I11" s="99">
        <v>0.62290791184171579</v>
      </c>
      <c r="J11" s="99">
        <v>0.67516723555969704</v>
      </c>
      <c r="K11" s="99">
        <v>0.65199867505084852</v>
      </c>
      <c r="M11" s="101"/>
      <c r="N11" s="99"/>
      <c r="O11" s="99"/>
      <c r="P11" s="99"/>
      <c r="Q11" s="99"/>
      <c r="R11" s="99"/>
      <c r="S11" s="99"/>
      <c r="T11" s="99"/>
      <c r="U11" s="99"/>
      <c r="V11" s="99"/>
    </row>
    <row r="12" spans="1:23">
      <c r="A12" s="101" t="s">
        <v>140</v>
      </c>
      <c r="B12" s="99">
        <v>0.49556938436218817</v>
      </c>
      <c r="C12" s="99">
        <v>0.49801352026323714</v>
      </c>
      <c r="D12" s="99">
        <v>0.49358171319917149</v>
      </c>
      <c r="E12" s="99">
        <v>0.48567487610726728</v>
      </c>
      <c r="F12" s="99">
        <v>0.49043216371192594</v>
      </c>
      <c r="G12" s="99">
        <v>0.4896847349606121</v>
      </c>
      <c r="H12" s="99">
        <v>0.49647906971553563</v>
      </c>
      <c r="I12" s="99">
        <v>0.49956861454762147</v>
      </c>
      <c r="J12" s="99">
        <v>0.50718983634273551</v>
      </c>
      <c r="K12" s="99">
        <v>0.50083358576647485</v>
      </c>
      <c r="M12" s="101"/>
      <c r="N12" s="99"/>
      <c r="O12" s="99"/>
      <c r="P12" s="99"/>
      <c r="Q12" s="99"/>
      <c r="R12" s="99"/>
      <c r="S12" s="99"/>
      <c r="T12" s="99"/>
      <c r="U12" s="99"/>
      <c r="V12" s="99"/>
    </row>
    <row r="13" spans="1:23">
      <c r="A13" s="101" t="s">
        <v>141</v>
      </c>
      <c r="B13" s="99">
        <v>0.55551971720433513</v>
      </c>
      <c r="C13" s="99">
        <v>0.54648732618628049</v>
      </c>
      <c r="D13" s="99">
        <v>0.55872432998290711</v>
      </c>
      <c r="E13" s="99">
        <v>0.55723655104432668</v>
      </c>
      <c r="F13" s="99">
        <v>0.56122644700992563</v>
      </c>
      <c r="G13" s="99">
        <v>0.56420900633970505</v>
      </c>
      <c r="H13" s="99">
        <v>0.57233459121155572</v>
      </c>
      <c r="I13" s="99">
        <v>0.58650484371274314</v>
      </c>
      <c r="J13" s="99">
        <v>0.58366080232533402</v>
      </c>
      <c r="K13" s="99">
        <v>0.57722430953619386</v>
      </c>
      <c r="M13" s="101"/>
      <c r="N13" s="99"/>
      <c r="O13" s="99"/>
      <c r="P13" s="99"/>
      <c r="Q13" s="99"/>
      <c r="R13" s="99"/>
      <c r="S13" s="99"/>
      <c r="T13" s="99"/>
      <c r="U13" s="99"/>
      <c r="V13" s="99"/>
    </row>
    <row r="14" spans="1:23">
      <c r="A14" s="101" t="s">
        <v>142</v>
      </c>
      <c r="B14" s="99">
        <v>0.58598583083461986</v>
      </c>
      <c r="C14" s="99">
        <v>0.59137934391368596</v>
      </c>
      <c r="D14" s="99">
        <v>0.60208405673595533</v>
      </c>
      <c r="E14" s="99">
        <v>0.61071962947539404</v>
      </c>
      <c r="F14" s="99">
        <v>0.62759273860169262</v>
      </c>
      <c r="G14" s="99">
        <v>0.63728817837315344</v>
      </c>
      <c r="H14" s="99">
        <v>0.63511662799206992</v>
      </c>
      <c r="I14" s="99">
        <v>0.63151230709467543</v>
      </c>
      <c r="J14" s="99">
        <v>0.63135411110007145</v>
      </c>
      <c r="K14" s="99">
        <v>0.62442618864691712</v>
      </c>
      <c r="M14" s="101"/>
      <c r="N14" s="99"/>
      <c r="O14" s="99"/>
      <c r="P14" s="99"/>
      <c r="Q14" s="99"/>
      <c r="R14" s="99"/>
      <c r="S14" s="99"/>
      <c r="T14" s="99"/>
      <c r="U14" s="99"/>
      <c r="V14" s="99"/>
    </row>
    <row r="15" spans="1:23">
      <c r="A15" s="101" t="s">
        <v>143</v>
      </c>
      <c r="B15" s="99">
        <v>0.49985071160800187</v>
      </c>
      <c r="C15" s="99">
        <v>0.51137200943986494</v>
      </c>
      <c r="D15" s="99">
        <v>0.52225575599407714</v>
      </c>
      <c r="E15" s="99">
        <v>0.52086984992095886</v>
      </c>
      <c r="F15" s="99">
        <v>0.51011289245573854</v>
      </c>
      <c r="G15" s="99">
        <v>0.51566363860556774</v>
      </c>
      <c r="H15" s="99">
        <v>0.53044212063647544</v>
      </c>
      <c r="I15" s="99">
        <v>0.53793656792930178</v>
      </c>
      <c r="J15" s="99">
        <v>0.54497782740582423</v>
      </c>
      <c r="K15" s="99">
        <v>0.54783074265345699</v>
      </c>
      <c r="M15" s="101"/>
      <c r="N15" s="99"/>
      <c r="O15" s="99"/>
      <c r="P15" s="99"/>
      <c r="Q15" s="99"/>
      <c r="R15" s="99"/>
      <c r="S15" s="99"/>
      <c r="T15" s="99"/>
      <c r="U15" s="99"/>
      <c r="V15" s="99"/>
    </row>
    <row r="16" spans="1:23">
      <c r="A16" s="101" t="s">
        <v>144</v>
      </c>
      <c r="B16" s="99">
        <v>0.51734872243561369</v>
      </c>
      <c r="C16" s="99">
        <v>0.51294791018971853</v>
      </c>
      <c r="D16" s="99">
        <v>0.51585038597803723</v>
      </c>
      <c r="E16" s="99">
        <v>0.52183636804931088</v>
      </c>
      <c r="F16" s="99">
        <v>0.51905647032412949</v>
      </c>
      <c r="G16" s="99">
        <v>0.52201505384442892</v>
      </c>
      <c r="H16" s="99">
        <v>0.53219961183059206</v>
      </c>
      <c r="I16" s="99">
        <v>0.53841553365248951</v>
      </c>
      <c r="J16" s="99">
        <v>0.54822286684746835</v>
      </c>
      <c r="K16" s="99">
        <v>0.54906211087745826</v>
      </c>
      <c r="M16" s="101"/>
      <c r="N16" s="99"/>
      <c r="O16" s="99"/>
      <c r="P16" s="99"/>
      <c r="Q16" s="99"/>
      <c r="R16" s="99"/>
      <c r="S16" s="99"/>
      <c r="T16" s="99"/>
      <c r="U16" s="99"/>
      <c r="V16" s="99"/>
    </row>
    <row r="17" spans="1:22">
      <c r="A17" s="101" t="s">
        <v>145</v>
      </c>
      <c r="B17" s="99">
        <v>0.41736000096885145</v>
      </c>
      <c r="C17" s="99">
        <v>0.43105341093012844</v>
      </c>
      <c r="D17" s="99">
        <v>0.43866452382186738</v>
      </c>
      <c r="E17" s="99">
        <v>0.45887916864377676</v>
      </c>
      <c r="F17" s="99">
        <v>0.44640434192673001</v>
      </c>
      <c r="G17" s="99">
        <v>0.44629185896906243</v>
      </c>
      <c r="H17" s="99">
        <v>0.44946888523755524</v>
      </c>
      <c r="I17" s="99">
        <v>0.44493524236801535</v>
      </c>
      <c r="J17" s="99">
        <v>0.42996054825008162</v>
      </c>
      <c r="K17" s="99">
        <v>0.42161023910971884</v>
      </c>
      <c r="M17" s="101"/>
      <c r="N17" s="99"/>
      <c r="O17" s="99"/>
      <c r="P17" s="99"/>
      <c r="Q17" s="99"/>
      <c r="R17" s="99"/>
      <c r="S17" s="99"/>
      <c r="T17" s="99"/>
      <c r="U17" s="99"/>
      <c r="V17" s="99"/>
    </row>
    <row r="18" spans="1:22">
      <c r="A18" s="101" t="s">
        <v>146</v>
      </c>
      <c r="B18" s="99">
        <v>0.48237779373864548</v>
      </c>
      <c r="C18" s="99">
        <v>0.47416088053056016</v>
      </c>
      <c r="D18" s="99">
        <v>0.48159282048850571</v>
      </c>
      <c r="E18" s="99">
        <v>0.46939733400087613</v>
      </c>
      <c r="F18" s="99">
        <v>0.48847447242788156</v>
      </c>
      <c r="G18" s="99">
        <v>0.48401517204009753</v>
      </c>
      <c r="H18" s="99">
        <v>0.49477893286158209</v>
      </c>
      <c r="I18" s="99">
        <v>0.49616976005656971</v>
      </c>
      <c r="J18" s="99">
        <v>0.49502407105626534</v>
      </c>
      <c r="K18" s="99">
        <v>0.48807384870916481</v>
      </c>
      <c r="M18" s="101"/>
      <c r="N18" s="99"/>
      <c r="O18" s="99"/>
      <c r="P18" s="99"/>
      <c r="Q18" s="99"/>
      <c r="R18" s="99"/>
      <c r="S18" s="99"/>
      <c r="T18" s="99"/>
      <c r="U18" s="99"/>
      <c r="V18" s="99"/>
    </row>
    <row r="19" spans="1:22">
      <c r="A19" s="101" t="s">
        <v>147</v>
      </c>
      <c r="B19" s="99">
        <v>0.53647471770588429</v>
      </c>
      <c r="C19" s="99">
        <v>0.5359218159612229</v>
      </c>
      <c r="D19" s="99">
        <v>0.53100898606099201</v>
      </c>
      <c r="E19" s="99">
        <v>0.53674260920818551</v>
      </c>
      <c r="F19" s="99">
        <v>0.53986174062241643</v>
      </c>
      <c r="G19" s="99">
        <v>0.53694807502625597</v>
      </c>
      <c r="H19" s="99">
        <v>0.54002985928517966</v>
      </c>
      <c r="I19" s="99">
        <v>0.53737676300044601</v>
      </c>
      <c r="J19" s="99">
        <v>0.53326774604602356</v>
      </c>
      <c r="K19" s="99">
        <v>0.53780897340778633</v>
      </c>
      <c r="M19" s="101"/>
      <c r="N19" s="99"/>
      <c r="O19" s="99"/>
      <c r="P19" s="99"/>
      <c r="Q19" s="99"/>
      <c r="R19" s="99"/>
      <c r="S19" s="99"/>
      <c r="T19" s="99"/>
      <c r="U19" s="99"/>
      <c r="V19" s="99"/>
    </row>
    <row r="20" spans="1:22">
      <c r="A20" s="101" t="s">
        <v>148</v>
      </c>
      <c r="B20" s="99">
        <v>0.54884832340958944</v>
      </c>
      <c r="C20" s="99">
        <v>0.55473366668044133</v>
      </c>
      <c r="D20" s="99">
        <v>0.5429422782763712</v>
      </c>
      <c r="E20" s="99">
        <v>0.54253118442140891</v>
      </c>
      <c r="F20" s="99">
        <v>0.53640162620543108</v>
      </c>
      <c r="G20" s="99">
        <v>0.53593703886214006</v>
      </c>
      <c r="H20" s="99">
        <v>0.53447034066878696</v>
      </c>
      <c r="I20" s="99">
        <v>0.53550487299388438</v>
      </c>
      <c r="J20" s="99">
        <v>0.53911649374968729</v>
      </c>
      <c r="K20" s="99">
        <v>0.53511420314994107</v>
      </c>
      <c r="M20" s="101"/>
      <c r="N20" s="99"/>
      <c r="O20" s="99"/>
      <c r="P20" s="99"/>
      <c r="Q20" s="99"/>
      <c r="R20" s="99"/>
      <c r="S20" s="99"/>
      <c r="T20" s="99"/>
      <c r="U20" s="99"/>
      <c r="V20" s="99"/>
    </row>
    <row r="21" spans="1:22">
      <c r="A21" s="101" t="s">
        <v>149</v>
      </c>
      <c r="B21" s="99">
        <v>0.48112600121018245</v>
      </c>
      <c r="C21" s="99">
        <v>0.48680153432218359</v>
      </c>
      <c r="D21" s="99">
        <v>0.50779346142843995</v>
      </c>
      <c r="E21" s="99">
        <v>0.51308092215650614</v>
      </c>
      <c r="F21" s="99">
        <v>0.51954495730849204</v>
      </c>
      <c r="G21" s="99">
        <v>0.52185469842012466</v>
      </c>
      <c r="H21" s="99">
        <v>0.53408670237465261</v>
      </c>
      <c r="I21" s="99">
        <v>0.53132220803752828</v>
      </c>
      <c r="J21" s="99">
        <v>0.53777238104408254</v>
      </c>
      <c r="K21" s="99">
        <v>0.53805453066997355</v>
      </c>
      <c r="M21" s="101"/>
      <c r="N21" s="99"/>
      <c r="O21" s="99"/>
      <c r="P21" s="99"/>
      <c r="Q21" s="99"/>
      <c r="R21" s="99"/>
      <c r="S21" s="99"/>
      <c r="T21" s="99"/>
      <c r="U21" s="99"/>
      <c r="V21" s="99"/>
    </row>
    <row r="22" spans="1:22">
      <c r="A22" s="101" t="s">
        <v>150</v>
      </c>
      <c r="B22" s="99">
        <v>0.50921304481399454</v>
      </c>
      <c r="C22" s="99">
        <v>0.51761391081020536</v>
      </c>
      <c r="D22" s="99"/>
      <c r="E22" s="99"/>
      <c r="F22" s="99"/>
      <c r="G22" s="99"/>
      <c r="H22" s="99"/>
      <c r="I22" s="99"/>
      <c r="J22" s="99"/>
      <c r="K22" s="99"/>
      <c r="M22" s="101"/>
      <c r="N22" s="99"/>
      <c r="O22" s="99"/>
      <c r="P22" s="99"/>
      <c r="Q22" s="99"/>
      <c r="R22" s="99"/>
      <c r="S22" s="99"/>
      <c r="T22" s="99"/>
      <c r="U22" s="99"/>
      <c r="V22" s="99"/>
    </row>
    <row r="23" spans="1:22">
      <c r="A23" s="101" t="s">
        <v>151</v>
      </c>
      <c r="B23" s="99">
        <v>0.45826516334885509</v>
      </c>
      <c r="C23" s="99">
        <v>0.47015408027392047</v>
      </c>
      <c r="D23" s="99">
        <v>0.46895855314686674</v>
      </c>
      <c r="E23" s="99">
        <v>0.48161898203217929</v>
      </c>
      <c r="F23" s="99">
        <v>0.48928412465169596</v>
      </c>
      <c r="G23" s="99">
        <v>0.48908469226722778</v>
      </c>
      <c r="H23" s="99">
        <v>0.502954370410437</v>
      </c>
      <c r="I23" s="99">
        <v>0.48994648844793531</v>
      </c>
      <c r="J23" s="99">
        <v>0.49323595224843536</v>
      </c>
      <c r="K23" s="99">
        <v>0.48566674342765032</v>
      </c>
      <c r="M23" s="101"/>
      <c r="N23" s="99"/>
      <c r="O23" s="99"/>
      <c r="P23" s="99"/>
      <c r="Q23" s="99"/>
      <c r="R23" s="99"/>
      <c r="S23" s="99"/>
      <c r="T23" s="99"/>
      <c r="U23" s="99"/>
      <c r="V23" s="99"/>
    </row>
    <row r="24" spans="1:22">
      <c r="A24" s="101" t="s">
        <v>152</v>
      </c>
      <c r="B24" s="99"/>
      <c r="C24" s="99"/>
      <c r="D24" s="99">
        <v>0.52547510674424092</v>
      </c>
      <c r="E24" s="99">
        <v>0.54871615441907606</v>
      </c>
      <c r="F24" s="99">
        <v>0.54524110986461638</v>
      </c>
      <c r="G24" s="99">
        <v>0.54190129933894282</v>
      </c>
      <c r="H24" s="99">
        <v>0.53773229438155279</v>
      </c>
      <c r="I24" s="99">
        <v>0.5502735626557731</v>
      </c>
      <c r="J24" s="99">
        <v>0.56044545509801169</v>
      </c>
      <c r="K24" s="99">
        <v>0.55729256075242672</v>
      </c>
      <c r="M24" s="101"/>
      <c r="N24" s="99"/>
      <c r="O24" s="99"/>
      <c r="P24" s="99"/>
      <c r="Q24" s="99"/>
      <c r="R24" s="99"/>
      <c r="S24" s="99"/>
      <c r="T24" s="99"/>
      <c r="U24" s="99"/>
      <c r="V24" s="99"/>
    </row>
    <row r="25" spans="1:22">
      <c r="A25" s="101" t="s">
        <v>153</v>
      </c>
      <c r="B25" s="99">
        <v>0.47237326555736053</v>
      </c>
      <c r="C25" s="99">
        <v>0.48809739987774026</v>
      </c>
      <c r="D25" s="99"/>
      <c r="E25" s="99"/>
      <c r="F25" s="99"/>
      <c r="G25" s="99"/>
      <c r="H25" s="99"/>
      <c r="I25" s="99"/>
      <c r="J25" s="99"/>
      <c r="K25" s="99"/>
      <c r="M25" s="101"/>
      <c r="N25" s="99"/>
      <c r="O25" s="99"/>
      <c r="P25" s="99"/>
      <c r="Q25" s="99"/>
      <c r="R25" s="99"/>
      <c r="S25" s="99"/>
      <c r="T25" s="99"/>
      <c r="U25" s="99"/>
      <c r="V25" s="99"/>
    </row>
    <row r="26" spans="1:22">
      <c r="A26" s="101" t="s">
        <v>154</v>
      </c>
      <c r="B26" s="99">
        <v>0.52575199725186428</v>
      </c>
      <c r="C26" s="99">
        <v>0.51480485676763443</v>
      </c>
      <c r="D26" s="99">
        <v>0.52576687466996697</v>
      </c>
      <c r="E26" s="99">
        <v>0.52568718271069104</v>
      </c>
      <c r="F26" s="99">
        <v>0.54124994783769875</v>
      </c>
      <c r="G26" s="99">
        <v>0.54700236566407567</v>
      </c>
      <c r="H26" s="99">
        <v>0.55180070824995187</v>
      </c>
      <c r="I26" s="99">
        <v>0.54745646978490947</v>
      </c>
      <c r="J26" s="99">
        <v>0.53304234319278332</v>
      </c>
      <c r="K26" s="99">
        <v>0.52620985740603976</v>
      </c>
      <c r="M26" s="101"/>
      <c r="N26" s="99"/>
      <c r="O26" s="99"/>
      <c r="P26" s="99"/>
      <c r="Q26" s="99"/>
      <c r="R26" s="99"/>
      <c r="S26" s="99"/>
      <c r="T26" s="99"/>
      <c r="U26" s="99"/>
      <c r="V26" s="99"/>
    </row>
    <row r="27" spans="1:22">
      <c r="A27" s="101" t="s">
        <v>155</v>
      </c>
      <c r="B27" s="99">
        <v>0.53761111587054877</v>
      </c>
      <c r="C27" s="99">
        <v>0.5383112282599587</v>
      </c>
      <c r="D27" s="99">
        <v>0.52118729120965779</v>
      </c>
      <c r="E27" s="99">
        <v>0.52706735991731613</v>
      </c>
      <c r="F27" s="99">
        <v>0.52155715989100293</v>
      </c>
      <c r="G27" s="99">
        <v>0.52696933643934774</v>
      </c>
      <c r="H27" s="99">
        <v>0.51853962031951506</v>
      </c>
      <c r="I27" s="99">
        <v>0.52264112793224193</v>
      </c>
      <c r="J27" s="99">
        <v>0.52735362649348072</v>
      </c>
      <c r="K27" s="99">
        <v>0.52791071181079252</v>
      </c>
      <c r="M27" s="101"/>
      <c r="N27" s="99"/>
      <c r="O27" s="99"/>
      <c r="P27" s="99"/>
      <c r="Q27" s="99"/>
      <c r="R27" s="99"/>
      <c r="S27" s="99"/>
      <c r="T27" s="99"/>
      <c r="U27" s="99"/>
      <c r="V27" s="99"/>
    </row>
    <row r="28" spans="1:22">
      <c r="A28" s="101" t="s">
        <v>156</v>
      </c>
      <c r="B28" s="99">
        <v>0.58413664849703262</v>
      </c>
      <c r="C28" s="99">
        <v>0.59678485590575192</v>
      </c>
      <c r="D28" s="99">
        <v>0.60595452419815943</v>
      </c>
      <c r="E28" s="99">
        <v>0.59589002662901658</v>
      </c>
      <c r="F28" s="99">
        <v>0.61026486711373684</v>
      </c>
      <c r="G28" s="99">
        <v>0.61030705385214412</v>
      </c>
      <c r="H28" s="99">
        <v>0.61116780886978805</v>
      </c>
      <c r="I28" s="99">
        <v>0.61114573397303784</v>
      </c>
      <c r="J28" s="99">
        <v>0.6103034908612579</v>
      </c>
      <c r="K28" s="99">
        <v>0.62184392176292613</v>
      </c>
      <c r="M28" s="101"/>
      <c r="N28" s="99"/>
      <c r="O28" s="99"/>
      <c r="P28" s="99"/>
      <c r="Q28" s="99"/>
      <c r="R28" s="99"/>
      <c r="S28" s="99"/>
      <c r="T28" s="99"/>
      <c r="U28" s="99"/>
      <c r="V28" s="99"/>
    </row>
    <row r="29" spans="1:22">
      <c r="A29" s="101" t="s">
        <v>157</v>
      </c>
      <c r="B29" s="99">
        <v>0.45079518930252799</v>
      </c>
      <c r="C29" s="99">
        <v>0.44951680691015194</v>
      </c>
      <c r="D29" s="99">
        <v>0.43506598483752668</v>
      </c>
      <c r="E29" s="99">
        <v>0.42979197313852113</v>
      </c>
      <c r="F29" s="99">
        <v>0.4307219539450054</v>
      </c>
      <c r="G29" s="99">
        <v>0.43417229059150458</v>
      </c>
      <c r="H29" s="99">
        <v>0.43611033367540503</v>
      </c>
      <c r="I29" s="99">
        <v>0.42331658906193848</v>
      </c>
      <c r="J29" s="99">
        <v>0.4188127440230503</v>
      </c>
      <c r="K29" s="99">
        <v>0.43132285591911784</v>
      </c>
      <c r="M29" s="101"/>
      <c r="N29" s="99"/>
      <c r="O29" s="99"/>
      <c r="P29" s="99"/>
      <c r="Q29" s="99"/>
      <c r="R29" s="99"/>
      <c r="S29" s="99"/>
      <c r="T29" s="99"/>
      <c r="U29" s="99"/>
      <c r="V29" s="99"/>
    </row>
    <row r="30" spans="1:22">
      <c r="A30" s="101" t="s">
        <v>158</v>
      </c>
      <c r="B30" s="99">
        <v>0.46946002058589731</v>
      </c>
      <c r="C30" s="99">
        <v>0.4832453337967233</v>
      </c>
      <c r="D30" s="99">
        <v>0.48123218873897539</v>
      </c>
      <c r="E30" s="99">
        <v>0.48252228209515541</v>
      </c>
      <c r="F30" s="99">
        <v>0.49166590403923677</v>
      </c>
      <c r="G30" s="99">
        <v>0.49777521306685291</v>
      </c>
      <c r="H30" s="99">
        <v>0.50599925589508843</v>
      </c>
      <c r="I30" s="99">
        <v>0.52794799843612661</v>
      </c>
      <c r="J30" s="99">
        <v>0.52344226971337859</v>
      </c>
      <c r="K30" s="99">
        <v>0.52322174710687308</v>
      </c>
      <c r="M30" s="101"/>
      <c r="N30" s="99"/>
      <c r="O30" s="99"/>
      <c r="P30" s="99"/>
      <c r="Q30" s="99"/>
      <c r="R30" s="99"/>
      <c r="S30" s="99"/>
      <c r="T30" s="99"/>
      <c r="U30" s="99"/>
      <c r="V30" s="99"/>
    </row>
    <row r="31" spans="1:22">
      <c r="A31" s="101" t="s">
        <v>159</v>
      </c>
      <c r="B31" s="99">
        <v>0.58612122136739098</v>
      </c>
      <c r="C31" s="99">
        <v>0.58678550590507617</v>
      </c>
      <c r="D31" s="99">
        <v>0.58382997451084662</v>
      </c>
      <c r="E31" s="99">
        <v>0.58448775991541735</v>
      </c>
      <c r="F31" s="99">
        <v>0.57672324523884566</v>
      </c>
      <c r="G31" s="99">
        <v>0.5774931262755415</v>
      </c>
      <c r="H31" s="99">
        <v>0.59029921444680122</v>
      </c>
      <c r="I31" s="99">
        <v>0.58687351229833373</v>
      </c>
      <c r="J31" s="99">
        <v>0.57672889231907132</v>
      </c>
      <c r="K31" s="99">
        <v>0.5755254463340137</v>
      </c>
      <c r="M31" s="101"/>
      <c r="N31" s="99"/>
      <c r="O31" s="99"/>
      <c r="P31" s="99"/>
      <c r="Q31" s="99"/>
      <c r="R31" s="99"/>
      <c r="S31" s="99"/>
      <c r="T31" s="99"/>
      <c r="U31" s="99"/>
      <c r="V31" s="99"/>
    </row>
    <row r="32" spans="1:22">
      <c r="A32" s="102" t="s">
        <v>160</v>
      </c>
      <c r="B32" s="103">
        <v>0.49638518430510586</v>
      </c>
      <c r="C32" s="103">
        <v>0.48466995180592409</v>
      </c>
      <c r="D32" s="103">
        <v>0.49433785966017002</v>
      </c>
      <c r="E32" s="103">
        <v>0.49344017834279774</v>
      </c>
      <c r="F32" s="103">
        <v>0.50201435723243115</v>
      </c>
      <c r="G32" s="103">
        <v>0.49943398021308982</v>
      </c>
      <c r="H32" s="103">
        <v>0.5099020502411501</v>
      </c>
      <c r="I32" s="103">
        <v>0.50410685534163324</v>
      </c>
      <c r="J32" s="103">
        <v>0.5053956519454128</v>
      </c>
      <c r="K32" s="103">
        <v>0.49493094542677418</v>
      </c>
      <c r="M32" s="101"/>
      <c r="N32" s="104"/>
      <c r="O32" s="104"/>
      <c r="P32" s="104"/>
      <c r="Q32" s="104"/>
      <c r="R32" s="104"/>
      <c r="S32" s="104"/>
      <c r="T32" s="104"/>
      <c r="U32" s="104"/>
      <c r="V32" s="104"/>
    </row>
    <row r="33" spans="1:28">
      <c r="A33" s="105" t="s">
        <v>161</v>
      </c>
      <c r="B33" s="106">
        <v>0.53429377144926271</v>
      </c>
      <c r="C33" s="106">
        <v>0.53748785028966684</v>
      </c>
      <c r="D33" s="106">
        <v>0.5440310283566433</v>
      </c>
      <c r="E33" s="106">
        <v>0.54351895393791716</v>
      </c>
      <c r="F33" s="106">
        <v>0.55080035400094229</v>
      </c>
      <c r="G33" s="106">
        <v>0.54684069534147728</v>
      </c>
      <c r="H33" s="106">
        <v>0.55259663414319937</v>
      </c>
      <c r="I33" s="106">
        <v>0.5584905222329386</v>
      </c>
      <c r="J33" s="106">
        <v>0.5655932351114118</v>
      </c>
      <c r="K33" s="99">
        <v>0.56184839378092499</v>
      </c>
      <c r="M33" s="105"/>
      <c r="N33" s="106"/>
      <c r="O33" s="106"/>
      <c r="P33" s="106"/>
      <c r="Q33" s="106"/>
      <c r="R33" s="106"/>
      <c r="S33" s="106"/>
      <c r="T33" s="106"/>
      <c r="U33" s="106"/>
      <c r="V33" s="106"/>
    </row>
    <row r="34" spans="1:28">
      <c r="A34" s="105"/>
      <c r="B34" s="106"/>
      <c r="C34" s="106"/>
      <c r="D34" s="106"/>
      <c r="E34" s="106"/>
      <c r="F34" s="106"/>
      <c r="G34" s="106"/>
      <c r="H34" s="106"/>
      <c r="I34" s="106"/>
      <c r="J34" s="106"/>
      <c r="K34" s="99"/>
      <c r="M34" s="105"/>
      <c r="N34" s="106"/>
      <c r="O34" s="106"/>
      <c r="P34" s="106"/>
      <c r="Q34" s="106"/>
      <c r="R34" s="106"/>
      <c r="S34" s="106"/>
      <c r="T34" s="106"/>
      <c r="U34" s="106"/>
      <c r="V34" s="106"/>
    </row>
    <row r="35" spans="1:28">
      <c r="A35" s="95" t="s">
        <v>162</v>
      </c>
      <c r="Y35" s="14" t="s">
        <v>163</v>
      </c>
    </row>
    <row r="36" spans="1:28">
      <c r="A36" s="95" t="s">
        <v>164</v>
      </c>
      <c r="K36" s="14" t="s">
        <v>165</v>
      </c>
      <c r="M36" s="95" t="s">
        <v>166</v>
      </c>
      <c r="W36" s="14" t="s">
        <v>165</v>
      </c>
      <c r="Y36" s="83" t="s">
        <v>167</v>
      </c>
      <c r="Z36" s="14" t="s">
        <v>168</v>
      </c>
      <c r="AA36" s="14" t="s">
        <v>169</v>
      </c>
      <c r="AB36" s="9"/>
    </row>
    <row r="37" spans="1:28">
      <c r="A37" s="101" t="s">
        <v>139</v>
      </c>
      <c r="B37" s="107">
        <v>610289.951</v>
      </c>
      <c r="C37" s="107">
        <v>654375.62100000004</v>
      </c>
      <c r="D37" s="107">
        <v>779807.18099999998</v>
      </c>
      <c r="E37" s="107">
        <v>714611.14399999997</v>
      </c>
      <c r="F37" s="107">
        <v>744358.11300000001</v>
      </c>
      <c r="G37" s="107">
        <v>763505.03975000023</v>
      </c>
      <c r="H37" s="107">
        <v>801788</v>
      </c>
      <c r="I37" s="107">
        <v>825625.51999999979</v>
      </c>
      <c r="J37" s="107">
        <v>863948.48499999987</v>
      </c>
      <c r="K37" s="107">
        <v>660146.57900000003</v>
      </c>
      <c r="M37" s="101" t="s">
        <v>139</v>
      </c>
      <c r="N37" s="99">
        <f>B37/B112</f>
        <v>0.59507835771667128</v>
      </c>
      <c r="O37" s="99">
        <f t="shared" ref="O37:W52" si="1">C37/C112</f>
        <v>0.59355841009997434</v>
      </c>
      <c r="P37" s="99">
        <f t="shared" si="1"/>
        <v>0.67860907535798842</v>
      </c>
      <c r="Q37" s="99">
        <f t="shared" si="1"/>
        <v>0.59613186343634161</v>
      </c>
      <c r="R37" s="99">
        <f t="shared" si="1"/>
        <v>0.60279267223873567</v>
      </c>
      <c r="S37" s="99">
        <f t="shared" si="1"/>
        <v>0.60580163449597579</v>
      </c>
      <c r="T37" s="99">
        <f t="shared" si="1"/>
        <v>0.61591230378782125</v>
      </c>
      <c r="U37" s="99">
        <f t="shared" si="1"/>
        <v>0.61391342255989201</v>
      </c>
      <c r="V37" s="99">
        <f t="shared" si="1"/>
        <v>0.61654366235674551</v>
      </c>
      <c r="W37" s="99">
        <f t="shared" si="1"/>
        <v>0.61471668783676592</v>
      </c>
      <c r="Y37" s="99">
        <v>0.23430475061729145</v>
      </c>
      <c r="Z37" s="99">
        <v>0.20498732257473623</v>
      </c>
      <c r="AA37" s="99">
        <f>W37-SUM(Y37:Z37)</f>
        <v>0.17542461464473824</v>
      </c>
    </row>
    <row r="38" spans="1:28">
      <c r="A38" s="101" t="s">
        <v>140</v>
      </c>
      <c r="B38" s="107">
        <v>157285</v>
      </c>
      <c r="C38" s="107">
        <v>172932</v>
      </c>
      <c r="D38" s="107">
        <v>184793</v>
      </c>
      <c r="E38" s="107">
        <v>183779</v>
      </c>
      <c r="F38" s="107">
        <v>194345</v>
      </c>
      <c r="G38" s="107">
        <v>198783</v>
      </c>
      <c r="H38" s="107">
        <v>207822</v>
      </c>
      <c r="I38" s="107">
        <v>217150</v>
      </c>
      <c r="J38" s="107">
        <v>227152.93876999995</v>
      </c>
      <c r="K38" s="107">
        <v>176079.98798999999</v>
      </c>
      <c r="M38" s="101" t="s">
        <v>140</v>
      </c>
      <c r="N38" s="99">
        <f t="shared" ref="N38:W59" si="2">B38/B113</f>
        <v>0.60670408301027989</v>
      </c>
      <c r="O38" s="99">
        <f t="shared" si="1"/>
        <v>0.60081089250289232</v>
      </c>
      <c r="P38" s="99">
        <f t="shared" si="1"/>
        <v>0.61337798858834736</v>
      </c>
      <c r="Q38" s="99">
        <f t="shared" si="1"/>
        <v>0.59713097442895668</v>
      </c>
      <c r="R38" s="99">
        <f t="shared" si="1"/>
        <v>0.59818891990803014</v>
      </c>
      <c r="S38" s="99">
        <f t="shared" si="1"/>
        <v>0.58759037782809442</v>
      </c>
      <c r="T38" s="99">
        <f t="shared" si="1"/>
        <v>0.6113166920619606</v>
      </c>
      <c r="U38" s="99">
        <f t="shared" si="1"/>
        <v>0.60130034834715096</v>
      </c>
      <c r="V38" s="99">
        <f t="shared" si="1"/>
        <v>0.59963631792115135</v>
      </c>
      <c r="W38" s="99">
        <f t="shared" si="1"/>
        <v>0.59457746399783673</v>
      </c>
      <c r="Y38" s="99">
        <v>0.17906313230325394</v>
      </c>
      <c r="Z38" s="99">
        <v>0.23867713018305503</v>
      </c>
      <c r="AA38" s="99">
        <f t="shared" ref="AA38:AA59" si="3">W38-SUM(Y38:Z38)</f>
        <v>0.17683720151152776</v>
      </c>
    </row>
    <row r="39" spans="1:28">
      <c r="A39" s="101" t="s">
        <v>141</v>
      </c>
      <c r="B39" s="107">
        <v>453026</v>
      </c>
      <c r="C39" s="107">
        <v>492973</v>
      </c>
      <c r="D39" s="107">
        <v>525372</v>
      </c>
      <c r="E39" s="107">
        <v>547514</v>
      </c>
      <c r="F39" s="107">
        <v>565419</v>
      </c>
      <c r="G39" s="107">
        <v>593585</v>
      </c>
      <c r="H39" s="107">
        <v>614793</v>
      </c>
      <c r="I39" s="107">
        <v>637642</v>
      </c>
      <c r="J39" s="107">
        <v>668015</v>
      </c>
      <c r="K39" s="107">
        <v>519216</v>
      </c>
      <c r="M39" s="101" t="s">
        <v>141</v>
      </c>
      <c r="N39" s="99">
        <f t="shared" si="2"/>
        <v>0.63535602438617333</v>
      </c>
      <c r="O39" s="99">
        <f t="shared" si="1"/>
        <v>0.64435608570797442</v>
      </c>
      <c r="P39" s="99">
        <f t="shared" si="1"/>
        <v>0.65585009768367963</v>
      </c>
      <c r="Q39" s="99">
        <f t="shared" si="1"/>
        <v>0.65605030668818698</v>
      </c>
      <c r="R39" s="99">
        <f t="shared" si="1"/>
        <v>0.63557504456969172</v>
      </c>
      <c r="S39" s="99">
        <f t="shared" si="1"/>
        <v>0.64544312812957028</v>
      </c>
      <c r="T39" s="99">
        <f t="shared" si="1"/>
        <v>0.64714916389649702</v>
      </c>
      <c r="U39" s="99">
        <f t="shared" si="1"/>
        <v>0.64381778345876117</v>
      </c>
      <c r="V39" s="99">
        <f t="shared" si="1"/>
        <v>0.65997779046768457</v>
      </c>
      <c r="W39" s="99">
        <f t="shared" si="1"/>
        <v>0.65326540857397009</v>
      </c>
      <c r="Y39" s="99">
        <v>0.19019981102187844</v>
      </c>
      <c r="Z39" s="99">
        <v>0.26298155135688051</v>
      </c>
      <c r="AA39" s="99">
        <f t="shared" si="3"/>
        <v>0.20008404619521114</v>
      </c>
    </row>
    <row r="40" spans="1:28">
      <c r="A40" s="101" t="s">
        <v>142</v>
      </c>
      <c r="B40" s="107">
        <v>285181.12060000002</v>
      </c>
      <c r="C40" s="107">
        <v>318719.66610000003</v>
      </c>
      <c r="D40" s="107">
        <v>346935.86189999996</v>
      </c>
      <c r="E40" s="107">
        <v>347446.88959999999</v>
      </c>
      <c r="F40" s="107">
        <v>366035.05317999999</v>
      </c>
      <c r="G40" s="107">
        <v>387122.30041999999</v>
      </c>
      <c r="H40" s="107">
        <v>403811.22645000002</v>
      </c>
      <c r="I40" s="107">
        <v>407498.91238999995</v>
      </c>
      <c r="J40" s="107">
        <v>428330.55333000002</v>
      </c>
      <c r="K40" s="107">
        <v>330426.72835999989</v>
      </c>
      <c r="M40" s="101" t="s">
        <v>142</v>
      </c>
      <c r="N40" s="99">
        <f t="shared" si="2"/>
        <v>0.59639413188884516</v>
      </c>
      <c r="O40" s="99">
        <f t="shared" si="1"/>
        <v>0.60858171321544408</v>
      </c>
      <c r="P40" s="99">
        <f t="shared" si="1"/>
        <v>0.60098162815307055</v>
      </c>
      <c r="Q40" s="99">
        <f t="shared" si="1"/>
        <v>0.60357548347592083</v>
      </c>
      <c r="R40" s="99">
        <f t="shared" si="1"/>
        <v>0.59771021274797775</v>
      </c>
      <c r="S40" s="99">
        <f t="shared" si="1"/>
        <v>0.61954307456892777</v>
      </c>
      <c r="T40" s="99">
        <f t="shared" si="1"/>
        <v>0.62118440767016125</v>
      </c>
      <c r="U40" s="99">
        <f t="shared" si="1"/>
        <v>0.6138296012268315</v>
      </c>
      <c r="V40" s="99">
        <f t="shared" si="1"/>
        <v>0.6242400865194504</v>
      </c>
      <c r="W40" s="99">
        <f t="shared" si="1"/>
        <v>0.63955354489170024</v>
      </c>
      <c r="Y40" s="99">
        <v>0.20930207121612007</v>
      </c>
      <c r="Z40" s="99">
        <v>0.26143083202787831</v>
      </c>
      <c r="AA40" s="99">
        <f t="shared" si="3"/>
        <v>0.16882064164770183</v>
      </c>
    </row>
    <row r="41" spans="1:28">
      <c r="A41" s="101" t="s">
        <v>143</v>
      </c>
      <c r="B41" s="107">
        <v>339110</v>
      </c>
      <c r="C41" s="107">
        <v>386917</v>
      </c>
      <c r="D41" s="107">
        <v>421174</v>
      </c>
      <c r="E41" s="107">
        <v>446676</v>
      </c>
      <c r="F41" s="107">
        <v>476110</v>
      </c>
      <c r="G41" s="107">
        <v>503484</v>
      </c>
      <c r="H41" s="107">
        <v>516889</v>
      </c>
      <c r="I41" s="107">
        <v>539450</v>
      </c>
      <c r="J41" s="107">
        <v>554003</v>
      </c>
      <c r="K41" s="107">
        <v>428129</v>
      </c>
      <c r="M41" s="101" t="s">
        <v>143</v>
      </c>
      <c r="N41" s="99">
        <f t="shared" si="2"/>
        <v>0.60540330168047574</v>
      </c>
      <c r="O41" s="99">
        <f t="shared" si="1"/>
        <v>0.62514359575069678</v>
      </c>
      <c r="P41" s="99">
        <f t="shared" si="1"/>
        <v>0.64203255787719837</v>
      </c>
      <c r="Q41" s="99">
        <f t="shared" si="1"/>
        <v>0.57290098169234838</v>
      </c>
      <c r="R41" s="99">
        <f t="shared" si="1"/>
        <v>0.64599770696661529</v>
      </c>
      <c r="S41" s="99">
        <f t="shared" si="1"/>
        <v>0.65875869432101863</v>
      </c>
      <c r="T41" s="99">
        <f t="shared" si="1"/>
        <v>0.64764698290822109</v>
      </c>
      <c r="U41" s="99">
        <f t="shared" si="1"/>
        <v>0.64614076274434651</v>
      </c>
      <c r="V41" s="99">
        <f t="shared" si="1"/>
        <v>0.64437835272661292</v>
      </c>
      <c r="W41" s="99">
        <f t="shared" si="1"/>
        <v>0.63676128943978916</v>
      </c>
      <c r="Y41" s="99">
        <v>0.20547211736674431</v>
      </c>
      <c r="Z41" s="99">
        <v>0.24195438712344985</v>
      </c>
      <c r="AA41" s="99">
        <f t="shared" si="3"/>
        <v>0.18933478494959499</v>
      </c>
    </row>
    <row r="42" spans="1:28">
      <c r="A42" s="101" t="s">
        <v>144</v>
      </c>
      <c r="B42" s="107">
        <v>137763.78809999998</v>
      </c>
      <c r="C42" s="107">
        <v>146065.4491</v>
      </c>
      <c r="D42" s="107">
        <v>152476.644</v>
      </c>
      <c r="E42" s="107">
        <v>153021.89110000001</v>
      </c>
      <c r="F42" s="107">
        <v>159889.44020999997</v>
      </c>
      <c r="G42" s="107">
        <v>163036.88284000006</v>
      </c>
      <c r="H42" s="107">
        <v>169920.27637000007</v>
      </c>
      <c r="I42" s="107">
        <v>178421.99124999999</v>
      </c>
      <c r="J42" s="107">
        <v>186575.24304000015</v>
      </c>
      <c r="K42" s="107">
        <v>146747.29789000005</v>
      </c>
      <c r="M42" s="101" t="s">
        <v>144</v>
      </c>
      <c r="N42" s="99">
        <f t="shared" si="2"/>
        <v>0.63031275957779365</v>
      </c>
      <c r="O42" s="99">
        <f t="shared" si="1"/>
        <v>0.61817390018305252</v>
      </c>
      <c r="P42" s="99">
        <f t="shared" si="1"/>
        <v>0.63666007627284593</v>
      </c>
      <c r="Q42" s="99">
        <f t="shared" si="1"/>
        <v>0.63231569688124234</v>
      </c>
      <c r="R42" s="99">
        <f t="shared" si="1"/>
        <v>0.63104210016558859</v>
      </c>
      <c r="S42" s="99">
        <f t="shared" si="1"/>
        <v>0.62989241063056256</v>
      </c>
      <c r="T42" s="99">
        <f t="shared" si="1"/>
        <v>0.62395210587352379</v>
      </c>
      <c r="U42" s="99">
        <f t="shared" si="1"/>
        <v>0.63590615874524814</v>
      </c>
      <c r="V42" s="99">
        <f t="shared" si="1"/>
        <v>0.64301100533729882</v>
      </c>
      <c r="W42" s="99">
        <f t="shared" si="1"/>
        <v>0.66367962019334736</v>
      </c>
      <c r="Y42" s="99">
        <v>0.18760260920361341</v>
      </c>
      <c r="Z42" s="99">
        <v>0.25300751203497135</v>
      </c>
      <c r="AA42" s="99">
        <f t="shared" si="3"/>
        <v>0.22306949895476258</v>
      </c>
    </row>
    <row r="43" spans="1:28">
      <c r="A43" s="101" t="s">
        <v>145</v>
      </c>
      <c r="B43" s="107">
        <v>120266</v>
      </c>
      <c r="C43" s="107">
        <v>134819</v>
      </c>
      <c r="D43" s="107">
        <v>144204</v>
      </c>
      <c r="E43" s="107">
        <v>148098</v>
      </c>
      <c r="F43" s="107">
        <v>151633</v>
      </c>
      <c r="G43" s="107">
        <v>153214</v>
      </c>
      <c r="H43" s="107">
        <v>156510</v>
      </c>
      <c r="I43" s="107">
        <v>164695</v>
      </c>
      <c r="J43" s="107">
        <v>165706</v>
      </c>
      <c r="K43" s="107">
        <v>124737</v>
      </c>
      <c r="M43" s="101" t="s">
        <v>145</v>
      </c>
      <c r="N43" s="99">
        <f t="shared" si="2"/>
        <v>0.67702856370821562</v>
      </c>
      <c r="O43" s="99">
        <f t="shared" si="1"/>
        <v>0.68418675463080436</v>
      </c>
      <c r="P43" s="99">
        <f t="shared" si="1"/>
        <v>0.69182498560736905</v>
      </c>
      <c r="Q43" s="99">
        <f t="shared" si="1"/>
        <v>0.69330699261742135</v>
      </c>
      <c r="R43" s="99">
        <f t="shared" si="1"/>
        <v>0.69343936927213856</v>
      </c>
      <c r="S43" s="99">
        <f t="shared" si="1"/>
        <v>0.68285095421038089</v>
      </c>
      <c r="T43" s="99">
        <f t="shared" si="1"/>
        <v>0.67816953588435891</v>
      </c>
      <c r="U43" s="99">
        <f t="shared" si="1"/>
        <v>0.67792179994319612</v>
      </c>
      <c r="V43" s="99">
        <f t="shared" si="1"/>
        <v>0.66596736596736594</v>
      </c>
      <c r="W43" s="99">
        <f t="shared" si="1"/>
        <v>0.68220450219859552</v>
      </c>
      <c r="Y43" s="99">
        <v>0.20647655925269628</v>
      </c>
      <c r="Z43" s="99">
        <v>0.24995077771214805</v>
      </c>
      <c r="AA43" s="99">
        <f t="shared" si="3"/>
        <v>0.22577716523375119</v>
      </c>
    </row>
    <row r="44" spans="1:28">
      <c r="A44" s="101" t="s">
        <v>146</v>
      </c>
      <c r="B44" s="107">
        <v>74869</v>
      </c>
      <c r="C44" s="107">
        <v>81768</v>
      </c>
      <c r="D44" s="107">
        <v>85719.8128</v>
      </c>
      <c r="E44" s="107">
        <v>89545.881099999999</v>
      </c>
      <c r="F44" s="107">
        <v>92303</v>
      </c>
      <c r="G44" s="107">
        <v>93054</v>
      </c>
      <c r="H44" s="107">
        <v>96784</v>
      </c>
      <c r="I44" s="107">
        <v>101615</v>
      </c>
      <c r="J44" s="107">
        <v>106591</v>
      </c>
      <c r="K44" s="107">
        <v>81681</v>
      </c>
      <c r="M44" s="101" t="s">
        <v>146</v>
      </c>
      <c r="N44" s="99">
        <f t="shared" si="2"/>
        <v>0.6103782814283385</v>
      </c>
      <c r="O44" s="99">
        <f t="shared" si="1"/>
        <v>0.6193935445751555</v>
      </c>
      <c r="P44" s="99">
        <f t="shared" si="1"/>
        <v>0.61021926221888345</v>
      </c>
      <c r="Q44" s="99">
        <f t="shared" si="1"/>
        <v>0.61780116705573063</v>
      </c>
      <c r="R44" s="99">
        <f t="shared" si="1"/>
        <v>0.60131072356892046</v>
      </c>
      <c r="S44" s="99">
        <f t="shared" si="1"/>
        <v>0.59607205083529768</v>
      </c>
      <c r="T44" s="99">
        <f t="shared" si="1"/>
        <v>0.60567223209592225</v>
      </c>
      <c r="U44" s="99">
        <f t="shared" si="1"/>
        <v>0.5974014521296922</v>
      </c>
      <c r="V44" s="99">
        <f t="shared" si="1"/>
        <v>0.61221899302723626</v>
      </c>
      <c r="W44" s="99">
        <f t="shared" si="1"/>
        <v>0.61081780383476414</v>
      </c>
      <c r="Y44" s="99">
        <v>0.18962190781011637</v>
      </c>
      <c r="Z44" s="99">
        <v>0.23799018874697137</v>
      </c>
      <c r="AA44" s="99">
        <f t="shared" si="3"/>
        <v>0.18320570727767638</v>
      </c>
    </row>
    <row r="45" spans="1:28">
      <c r="A45" s="101" t="s">
        <v>147</v>
      </c>
      <c r="B45" s="107">
        <v>139178</v>
      </c>
      <c r="C45" s="107">
        <v>151479</v>
      </c>
      <c r="D45" s="107">
        <v>162716</v>
      </c>
      <c r="E45" s="107">
        <v>162082</v>
      </c>
      <c r="F45" s="107">
        <v>169104</v>
      </c>
      <c r="G45" s="107">
        <v>176846</v>
      </c>
      <c r="H45" s="107">
        <v>183965</v>
      </c>
      <c r="I45" s="107">
        <v>188706</v>
      </c>
      <c r="J45" s="107">
        <v>193467</v>
      </c>
      <c r="K45" s="107">
        <v>147348</v>
      </c>
      <c r="M45" s="101" t="s">
        <v>147</v>
      </c>
      <c r="N45" s="99">
        <f t="shared" si="2"/>
        <v>0.5206068721992384</v>
      </c>
      <c r="O45" s="99">
        <f t="shared" si="1"/>
        <v>0.52585189402355037</v>
      </c>
      <c r="P45" s="99">
        <f t="shared" si="1"/>
        <v>0.53842030376228456</v>
      </c>
      <c r="Q45" s="99">
        <f t="shared" si="1"/>
        <v>0.53750339914971512</v>
      </c>
      <c r="R45" s="99">
        <f t="shared" si="1"/>
        <v>0.5288102519841642</v>
      </c>
      <c r="S45" s="99">
        <f t="shared" si="1"/>
        <v>0.52448854907496933</v>
      </c>
      <c r="T45" s="99">
        <f t="shared" si="1"/>
        <v>0.5247147746719909</v>
      </c>
      <c r="U45" s="99">
        <f t="shared" si="1"/>
        <v>0.53130279072910336</v>
      </c>
      <c r="V45" s="99">
        <f t="shared" si="1"/>
        <v>0.54448665991219181</v>
      </c>
      <c r="W45" s="99">
        <f t="shared" si="1"/>
        <v>0.54046876719363235</v>
      </c>
      <c r="Y45" s="99">
        <v>0.17738693467336683</v>
      </c>
      <c r="Z45" s="99">
        <v>0.22010417048747385</v>
      </c>
      <c r="AA45" s="99">
        <f t="shared" si="3"/>
        <v>0.14297766203279166</v>
      </c>
    </row>
    <row r="46" spans="1:28">
      <c r="A46" s="101" t="s">
        <v>148</v>
      </c>
      <c r="B46" s="107">
        <v>122299.01</v>
      </c>
      <c r="C46" s="107">
        <v>138016</v>
      </c>
      <c r="D46" s="107">
        <v>140306.33790000001</v>
      </c>
      <c r="E46" s="107">
        <v>142441.53599999999</v>
      </c>
      <c r="F46" s="107">
        <v>151309.12595999998</v>
      </c>
      <c r="G46" s="107">
        <v>152395.42982999998</v>
      </c>
      <c r="H46" s="107">
        <v>155269.58397000004</v>
      </c>
      <c r="I46" s="107">
        <v>158867.47652999996</v>
      </c>
      <c r="J46" s="107">
        <v>166701.35100999995</v>
      </c>
      <c r="K46" s="107">
        <v>126660.57414</v>
      </c>
      <c r="M46" s="101" t="s">
        <v>148</v>
      </c>
      <c r="N46" s="99">
        <f t="shared" si="2"/>
        <v>0.6139323306560881</v>
      </c>
      <c r="O46" s="99">
        <f t="shared" si="1"/>
        <v>0.6244248492279294</v>
      </c>
      <c r="P46" s="99">
        <f t="shared" si="1"/>
        <v>0.63418047269581268</v>
      </c>
      <c r="Q46" s="99">
        <f t="shared" si="1"/>
        <v>0.62997543318671934</v>
      </c>
      <c r="R46" s="99">
        <f t="shared" si="1"/>
        <v>0.64257252956444955</v>
      </c>
      <c r="S46" s="99">
        <f t="shared" si="1"/>
        <v>0.64133107932292355</v>
      </c>
      <c r="T46" s="99">
        <f t="shared" si="1"/>
        <v>0.63953703758088198</v>
      </c>
      <c r="U46" s="99">
        <f t="shared" si="1"/>
        <v>0.63389471927538266</v>
      </c>
      <c r="V46" s="99">
        <f t="shared" si="1"/>
        <v>0.63874045488114906</v>
      </c>
      <c r="W46" s="99">
        <f t="shared" si="1"/>
        <v>0.64062215956045854</v>
      </c>
      <c r="Y46" s="99">
        <v>0.18290416289924305</v>
      </c>
      <c r="Z46" s="99">
        <v>0.21309190441046127</v>
      </c>
      <c r="AA46" s="99">
        <f t="shared" si="3"/>
        <v>0.24462609225075421</v>
      </c>
    </row>
    <row r="47" spans="1:28">
      <c r="A47" s="101" t="s">
        <v>149</v>
      </c>
      <c r="B47" s="107">
        <v>133397.84239999999</v>
      </c>
      <c r="C47" s="107">
        <v>143920.99650000001</v>
      </c>
      <c r="D47" s="107">
        <v>161546.90250000003</v>
      </c>
      <c r="E47" s="107">
        <v>164467.86920000002</v>
      </c>
      <c r="F47" s="107">
        <v>173761.61757000003</v>
      </c>
      <c r="G47" s="107">
        <v>177681.1808</v>
      </c>
      <c r="H47" s="107">
        <v>186371.46703900004</v>
      </c>
      <c r="I47" s="107">
        <v>196698.48299000002</v>
      </c>
      <c r="J47" s="107">
        <v>206789.04689</v>
      </c>
      <c r="K47" s="107">
        <v>161830.07040999999</v>
      </c>
      <c r="M47" s="101" t="s">
        <v>149</v>
      </c>
      <c r="N47" s="99">
        <f t="shared" si="2"/>
        <v>0.64940262647633729</v>
      </c>
      <c r="O47" s="99">
        <f t="shared" si="1"/>
        <v>0.63094410154890479</v>
      </c>
      <c r="P47" s="99">
        <f t="shared" si="1"/>
        <v>0.64637577412465275</v>
      </c>
      <c r="Q47" s="99">
        <f t="shared" si="1"/>
        <v>0.63024750431764598</v>
      </c>
      <c r="R47" s="99">
        <f t="shared" si="1"/>
        <v>0.6398010248485142</v>
      </c>
      <c r="S47" s="99">
        <f t="shared" si="1"/>
        <v>0.62793304820439722</v>
      </c>
      <c r="T47" s="99">
        <f t="shared" si="1"/>
        <v>0.63306848789227566</v>
      </c>
      <c r="U47" s="99">
        <f t="shared" si="1"/>
        <v>0.64220800458273586</v>
      </c>
      <c r="V47" s="99">
        <f t="shared" si="1"/>
        <v>0.63989851062337</v>
      </c>
      <c r="W47" s="99">
        <f t="shared" si="1"/>
        <v>0.64251000327399954</v>
      </c>
      <c r="Y47" s="99">
        <v>0.18833649720029624</v>
      </c>
      <c r="Z47" s="99">
        <v>0.24831509757196316</v>
      </c>
      <c r="AA47" s="99">
        <f t="shared" si="3"/>
        <v>0.20585840850174014</v>
      </c>
    </row>
    <row r="48" spans="1:28">
      <c r="A48" s="101" t="s">
        <v>150</v>
      </c>
      <c r="B48" s="107">
        <v>179185.18</v>
      </c>
      <c r="C48" s="107">
        <v>185950.6</v>
      </c>
      <c r="D48" s="107"/>
      <c r="E48" s="107"/>
      <c r="F48" s="107"/>
      <c r="G48" s="107"/>
      <c r="H48" s="107"/>
      <c r="I48" s="107"/>
      <c r="J48" s="107"/>
      <c r="K48" s="107"/>
      <c r="M48" s="101" t="s">
        <v>150</v>
      </c>
      <c r="N48" s="99">
        <f t="shared" si="2"/>
        <v>0.64705585817789157</v>
      </c>
      <c r="O48" s="99">
        <f t="shared" si="1"/>
        <v>0.64374327178805169</v>
      </c>
      <c r="P48" s="99"/>
      <c r="Q48" s="99"/>
      <c r="R48" s="99"/>
      <c r="S48" s="99"/>
      <c r="T48" s="99"/>
      <c r="U48" s="99"/>
      <c r="V48" s="99"/>
      <c r="W48" s="99"/>
      <c r="Y48" s="99"/>
      <c r="Z48" s="99"/>
      <c r="AA48" s="99"/>
    </row>
    <row r="49" spans="1:27">
      <c r="A49" s="101" t="s">
        <v>151</v>
      </c>
      <c r="B49" s="107">
        <v>44066</v>
      </c>
      <c r="C49" s="107">
        <v>47744</v>
      </c>
      <c r="D49" s="107">
        <v>49032</v>
      </c>
      <c r="E49" s="107">
        <v>53266</v>
      </c>
      <c r="F49" s="107">
        <v>56059</v>
      </c>
      <c r="G49" s="107">
        <v>56442</v>
      </c>
      <c r="H49" s="107">
        <v>59550</v>
      </c>
      <c r="I49" s="107">
        <v>61867</v>
      </c>
      <c r="J49" s="107">
        <v>59838</v>
      </c>
      <c r="K49" s="107">
        <v>45383</v>
      </c>
      <c r="M49" s="101" t="s">
        <v>151</v>
      </c>
      <c r="N49" s="99">
        <f t="shared" si="2"/>
        <v>0.6079242888281875</v>
      </c>
      <c r="O49" s="99">
        <f t="shared" si="1"/>
        <v>0.60916607124629985</v>
      </c>
      <c r="P49" s="99">
        <f t="shared" si="1"/>
        <v>0.611585092052088</v>
      </c>
      <c r="Q49" s="99">
        <f t="shared" si="1"/>
        <v>0.62973340426789615</v>
      </c>
      <c r="R49" s="99">
        <f t="shared" si="1"/>
        <v>0.64267207777319213</v>
      </c>
      <c r="S49" s="99">
        <f t="shared" si="1"/>
        <v>0.63798618725203182</v>
      </c>
      <c r="T49" s="99">
        <f t="shared" si="1"/>
        <v>0.63537621100251807</v>
      </c>
      <c r="U49" s="99">
        <f t="shared" si="1"/>
        <v>0.6368914648081615</v>
      </c>
      <c r="V49" s="99">
        <f t="shared" si="1"/>
        <v>0.62239835241988328</v>
      </c>
      <c r="W49" s="99">
        <f t="shared" si="1"/>
        <v>0.6282340563961295</v>
      </c>
      <c r="Y49" s="99">
        <v>0.1780201830036407</v>
      </c>
      <c r="Z49" s="99">
        <v>0.27384100001384293</v>
      </c>
      <c r="AA49" s="99">
        <f t="shared" si="3"/>
        <v>0.17637287337864588</v>
      </c>
    </row>
    <row r="50" spans="1:27">
      <c r="A50" s="101" t="s">
        <v>152</v>
      </c>
      <c r="B50" s="108">
        <f>B48+B51</f>
        <v>253336.89899999998</v>
      </c>
      <c r="C50" s="108">
        <f>C48+C51</f>
        <v>265765.77789999999</v>
      </c>
      <c r="D50" s="107">
        <v>286825.73990000004</v>
      </c>
      <c r="E50" s="107">
        <v>294665.85439999995</v>
      </c>
      <c r="F50" s="107">
        <v>313512.60714999994</v>
      </c>
      <c r="G50" s="107">
        <v>320332.91917999997</v>
      </c>
      <c r="H50" s="107">
        <v>333081.87103000004</v>
      </c>
      <c r="I50" s="107">
        <v>340088.36930999998</v>
      </c>
      <c r="J50" s="107">
        <v>349504.10629999998</v>
      </c>
      <c r="K50" s="107">
        <v>263004.33495999995</v>
      </c>
      <c r="M50" s="101" t="s">
        <v>152</v>
      </c>
      <c r="N50" s="109">
        <f t="shared" si="2"/>
        <v>0.63370403071539549</v>
      </c>
      <c r="O50" s="109">
        <f t="shared" si="1"/>
        <v>0.62275096784745887</v>
      </c>
      <c r="P50" s="99">
        <f t="shared" si="1"/>
        <v>0.63757777369295843</v>
      </c>
      <c r="Q50" s="99">
        <f t="shared" si="1"/>
        <v>0.64486572440045387</v>
      </c>
      <c r="R50" s="99">
        <f t="shared" si="1"/>
        <v>0.6493229274751976</v>
      </c>
      <c r="S50" s="99">
        <f t="shared" si="1"/>
        <v>0.66407746069431095</v>
      </c>
      <c r="T50" s="99">
        <f t="shared" si="1"/>
        <v>0.66675857472023081</v>
      </c>
      <c r="U50" s="99">
        <f t="shared" si="1"/>
        <v>0.64807260381586684</v>
      </c>
      <c r="V50" s="99">
        <f t="shared" si="1"/>
        <v>0.64211741601487182</v>
      </c>
      <c r="W50" s="99">
        <f t="shared" si="1"/>
        <v>0.64229977335091637</v>
      </c>
      <c r="Y50" s="99">
        <v>0.22102823286390641</v>
      </c>
      <c r="Z50" s="99">
        <v>0.24745374765205425</v>
      </c>
      <c r="AA50" s="99">
        <f t="shared" si="3"/>
        <v>0.17381779283495569</v>
      </c>
    </row>
    <row r="51" spans="1:27">
      <c r="A51" s="101" t="s">
        <v>153</v>
      </c>
      <c r="B51" s="107">
        <v>74151.718999999997</v>
      </c>
      <c r="C51" s="107">
        <v>79815.177899999995</v>
      </c>
      <c r="D51" s="107"/>
      <c r="E51" s="107"/>
      <c r="F51" s="107"/>
      <c r="G51" s="107"/>
      <c r="H51" s="107"/>
      <c r="I51" s="107"/>
      <c r="J51" s="107"/>
      <c r="K51" s="107"/>
      <c r="M51" s="101" t="s">
        <v>153</v>
      </c>
      <c r="N51" s="99">
        <f t="shared" si="2"/>
        <v>0.60360631229440065</v>
      </c>
      <c r="O51" s="99">
        <f t="shared" si="1"/>
        <v>0.57877934212831395</v>
      </c>
      <c r="P51" s="99"/>
      <c r="Q51" s="99"/>
      <c r="R51" s="99"/>
      <c r="S51" s="99"/>
      <c r="T51" s="99"/>
      <c r="U51" s="99"/>
      <c r="V51" s="99"/>
      <c r="W51" s="99"/>
      <c r="Y51" s="99"/>
      <c r="Z51" s="99"/>
      <c r="AA51" s="99"/>
    </row>
    <row r="52" spans="1:27">
      <c r="A52" s="101" t="s">
        <v>154</v>
      </c>
      <c r="B52" s="107">
        <v>39888.101499999997</v>
      </c>
      <c r="C52" s="107">
        <v>48337.428000000007</v>
      </c>
      <c r="D52" s="107">
        <v>52012.398000000001</v>
      </c>
      <c r="E52" s="107">
        <v>53036.55</v>
      </c>
      <c r="F52" s="107">
        <v>55300</v>
      </c>
      <c r="G52" s="107">
        <v>57277</v>
      </c>
      <c r="H52" s="107">
        <v>58156</v>
      </c>
      <c r="I52" s="107">
        <v>59653</v>
      </c>
      <c r="J52" s="107">
        <v>63494.089</v>
      </c>
      <c r="K52" s="107">
        <v>48556</v>
      </c>
      <c r="M52" s="101" t="s">
        <v>154</v>
      </c>
      <c r="N52" s="99">
        <f t="shared" si="2"/>
        <v>0.60115683210898763</v>
      </c>
      <c r="O52" s="99">
        <f t="shared" si="1"/>
        <v>0.62080996636672325</v>
      </c>
      <c r="P52" s="99">
        <f t="shared" si="1"/>
        <v>0.63234534000173825</v>
      </c>
      <c r="Q52" s="99">
        <f t="shared" si="1"/>
        <v>0.62420697959642535</v>
      </c>
      <c r="R52" s="99">
        <f t="shared" si="1"/>
        <v>0.6389222663832147</v>
      </c>
      <c r="S52" s="99">
        <f t="shared" si="1"/>
        <v>0.6283335344515506</v>
      </c>
      <c r="T52" s="99">
        <f t="shared" si="1"/>
        <v>0.63448215668946861</v>
      </c>
      <c r="U52" s="99">
        <f t="shared" si="1"/>
        <v>0.62037730354840048</v>
      </c>
      <c r="V52" s="99">
        <f t="shared" si="1"/>
        <v>0.64866982467172074</v>
      </c>
      <c r="W52" s="99">
        <f t="shared" si="1"/>
        <v>0.64379947229551449</v>
      </c>
      <c r="Y52" s="99">
        <v>0.20508876838015938</v>
      </c>
      <c r="Z52" s="99">
        <v>0.2433009374047016</v>
      </c>
      <c r="AA52" s="99">
        <f t="shared" si="3"/>
        <v>0.1954097665106535</v>
      </c>
    </row>
    <row r="53" spans="1:27">
      <c r="A53" s="101" t="s">
        <v>155</v>
      </c>
      <c r="B53" s="107">
        <v>85550</v>
      </c>
      <c r="C53" s="107">
        <v>91407</v>
      </c>
      <c r="D53" s="107">
        <v>98707</v>
      </c>
      <c r="E53" s="107">
        <v>100618</v>
      </c>
      <c r="F53" s="107">
        <v>105393</v>
      </c>
      <c r="G53" s="107">
        <v>109849</v>
      </c>
      <c r="H53" s="107">
        <v>110021</v>
      </c>
      <c r="I53" s="107">
        <v>113704</v>
      </c>
      <c r="J53" s="107">
        <v>121904</v>
      </c>
      <c r="K53" s="107">
        <v>96267</v>
      </c>
      <c r="M53" s="101" t="s">
        <v>155</v>
      </c>
      <c r="N53" s="99">
        <f t="shared" si="2"/>
        <v>0.54368895018144148</v>
      </c>
      <c r="O53" s="99">
        <f t="shared" si="2"/>
        <v>0.54856597591055578</v>
      </c>
      <c r="P53" s="99">
        <f t="shared" si="2"/>
        <v>0.57047495752083499</v>
      </c>
      <c r="Q53" s="99">
        <f t="shared" si="2"/>
        <v>0.58041925770388914</v>
      </c>
      <c r="R53" s="99">
        <f t="shared" si="2"/>
        <v>0.59505070123534853</v>
      </c>
      <c r="S53" s="99">
        <f t="shared" si="2"/>
        <v>0.6027148477150398</v>
      </c>
      <c r="T53" s="99">
        <f t="shared" si="2"/>
        <v>0.58583196221572609</v>
      </c>
      <c r="U53" s="99">
        <f t="shared" si="2"/>
        <v>0.58093753991569808</v>
      </c>
      <c r="V53" s="99">
        <f t="shared" si="2"/>
        <v>0.59738999612860855</v>
      </c>
      <c r="W53" s="99">
        <f t="shared" si="2"/>
        <v>0.61794781269056709</v>
      </c>
      <c r="Y53" s="99">
        <v>0.17119748371152549</v>
      </c>
      <c r="Z53" s="99">
        <v>0.23576082421285746</v>
      </c>
      <c r="AA53" s="99">
        <f t="shared" si="3"/>
        <v>0.21098950476618417</v>
      </c>
    </row>
    <row r="54" spans="1:27">
      <c r="A54" s="101" t="s">
        <v>156</v>
      </c>
      <c r="B54" s="107">
        <v>339760.07699999999</v>
      </c>
      <c r="C54" s="107">
        <v>376573</v>
      </c>
      <c r="D54" s="107">
        <v>405970</v>
      </c>
      <c r="E54" s="107">
        <v>424419</v>
      </c>
      <c r="F54" s="107">
        <v>444961</v>
      </c>
      <c r="G54" s="107">
        <v>457192</v>
      </c>
      <c r="H54" s="107">
        <v>481160.2</v>
      </c>
      <c r="I54" s="107">
        <v>496013.06628999999</v>
      </c>
      <c r="J54" s="107">
        <v>514108.30177000008</v>
      </c>
      <c r="K54" s="107">
        <v>400034.78505000001</v>
      </c>
      <c r="M54" s="101" t="s">
        <v>156</v>
      </c>
      <c r="N54" s="99">
        <f t="shared" si="2"/>
        <v>0.61742803783443911</v>
      </c>
      <c r="O54" s="99">
        <f t="shared" si="2"/>
        <v>0.591366002653957</v>
      </c>
      <c r="P54" s="99">
        <f t="shared" si="2"/>
        <v>0.60399259682449002</v>
      </c>
      <c r="Q54" s="99">
        <f t="shared" si="2"/>
        <v>0.54458982442768666</v>
      </c>
      <c r="R54" s="99">
        <f t="shared" si="2"/>
        <v>0.60709890439741854</v>
      </c>
      <c r="S54" s="99">
        <f t="shared" si="2"/>
        <v>0.59892213090057356</v>
      </c>
      <c r="T54" s="99">
        <f t="shared" si="2"/>
        <v>0.60769714880326675</v>
      </c>
      <c r="U54" s="99">
        <f t="shared" si="2"/>
        <v>0.6032530209530369</v>
      </c>
      <c r="V54" s="99">
        <f t="shared" si="2"/>
        <v>0.6136640944021502</v>
      </c>
      <c r="W54" s="99">
        <f t="shared" si="2"/>
        <v>0.60313640339039709</v>
      </c>
      <c r="Y54" s="99">
        <v>0.18374429893577804</v>
      </c>
      <c r="Z54" s="99">
        <v>0.23274512636636482</v>
      </c>
      <c r="AA54" s="99">
        <f t="shared" si="3"/>
        <v>0.18664697808825426</v>
      </c>
    </row>
    <row r="55" spans="1:27">
      <c r="A55" s="101" t="s">
        <v>157</v>
      </c>
      <c r="B55" s="107">
        <v>30014</v>
      </c>
      <c r="C55" s="107">
        <v>32724</v>
      </c>
      <c r="D55" s="107">
        <v>32714</v>
      </c>
      <c r="E55" s="107">
        <v>33384</v>
      </c>
      <c r="F55" s="107">
        <v>33449</v>
      </c>
      <c r="G55" s="107">
        <v>34189</v>
      </c>
      <c r="H55" s="107">
        <v>34364</v>
      </c>
      <c r="I55" s="107">
        <v>36718</v>
      </c>
      <c r="J55" s="107">
        <v>40011.413229999984</v>
      </c>
      <c r="K55" s="107">
        <v>29874.426779999998</v>
      </c>
      <c r="M55" s="101" t="s">
        <v>157</v>
      </c>
      <c r="N55" s="99">
        <f t="shared" si="2"/>
        <v>0.56491092686874766</v>
      </c>
      <c r="O55" s="99">
        <f t="shared" si="2"/>
        <v>0.5507514684349597</v>
      </c>
      <c r="P55" s="99">
        <f t="shared" si="2"/>
        <v>0.56376232163783002</v>
      </c>
      <c r="Q55" s="99">
        <f t="shared" si="2"/>
        <v>0.56004965693100039</v>
      </c>
      <c r="R55" s="99">
        <f t="shared" si="2"/>
        <v>0.54320606720041575</v>
      </c>
      <c r="S55" s="99">
        <f t="shared" si="2"/>
        <v>0.56007142389096387</v>
      </c>
      <c r="T55" s="99">
        <f t="shared" si="2"/>
        <v>0.54467356675278567</v>
      </c>
      <c r="U55" s="99">
        <f t="shared" si="2"/>
        <v>0.56699454902021329</v>
      </c>
      <c r="V55" s="99">
        <f t="shared" si="2"/>
        <v>0.58049710467505888</v>
      </c>
      <c r="W55" s="99">
        <f t="shared" si="2"/>
        <v>0.58321772429872809</v>
      </c>
      <c r="Y55" s="99">
        <v>0.15300239255415926</v>
      </c>
      <c r="Z55" s="99">
        <v>0.27878817694437963</v>
      </c>
      <c r="AA55" s="99">
        <f t="shared" si="3"/>
        <v>0.1514271548001892</v>
      </c>
    </row>
    <row r="56" spans="1:27">
      <c r="A56" s="101" t="s">
        <v>158</v>
      </c>
      <c r="B56" s="107">
        <v>366512</v>
      </c>
      <c r="C56" s="107">
        <v>410008</v>
      </c>
      <c r="D56" s="107">
        <v>429882</v>
      </c>
      <c r="E56" s="107">
        <v>441640</v>
      </c>
      <c r="F56" s="107">
        <v>472055</v>
      </c>
      <c r="G56" s="107">
        <v>492225</v>
      </c>
      <c r="H56" s="107">
        <v>516974</v>
      </c>
      <c r="I56" s="107">
        <v>559707</v>
      </c>
      <c r="J56" s="107">
        <v>572664</v>
      </c>
      <c r="K56" s="107">
        <v>442535</v>
      </c>
      <c r="M56" s="101" t="s">
        <v>158</v>
      </c>
      <c r="N56" s="99">
        <f t="shared" si="2"/>
        <v>0.64888559981445848</v>
      </c>
      <c r="O56" s="99">
        <f t="shared" si="2"/>
        <v>0.65313066500148143</v>
      </c>
      <c r="P56" s="99">
        <f t="shared" si="2"/>
        <v>0.66391760219801599</v>
      </c>
      <c r="Q56" s="99">
        <f t="shared" si="2"/>
        <v>0.67106200835408691</v>
      </c>
      <c r="R56" s="99">
        <f t="shared" si="2"/>
        <v>0.66928631483132972</v>
      </c>
      <c r="S56" s="99">
        <f t="shared" si="2"/>
        <v>0.66985701279631371</v>
      </c>
      <c r="T56" s="99">
        <f t="shared" si="2"/>
        <v>0.66517156370785535</v>
      </c>
      <c r="U56" s="99">
        <f t="shared" si="2"/>
        <v>0.66224191582758496</v>
      </c>
      <c r="V56" s="99">
        <f t="shared" si="2"/>
        <v>0.66818740293638224</v>
      </c>
      <c r="W56" s="99">
        <f t="shared" si="2"/>
        <v>0.66304430883284959</v>
      </c>
      <c r="Y56" s="99">
        <v>0.19350822334660317</v>
      </c>
      <c r="Z56" s="99">
        <v>0.2583061269438397</v>
      </c>
      <c r="AA56" s="99">
        <f t="shared" si="3"/>
        <v>0.21122995854240673</v>
      </c>
    </row>
    <row r="57" spans="1:27">
      <c r="A57" s="101" t="s">
        <v>159</v>
      </c>
      <c r="B57" s="107">
        <v>45129</v>
      </c>
      <c r="C57" s="107">
        <v>46782</v>
      </c>
      <c r="D57" s="107">
        <v>50836.168000000005</v>
      </c>
      <c r="E57" s="107">
        <v>51644</v>
      </c>
      <c r="F57" s="107">
        <v>52934</v>
      </c>
      <c r="G57" s="107">
        <v>55156.962999999996</v>
      </c>
      <c r="H57" s="107">
        <v>54879</v>
      </c>
      <c r="I57" s="107">
        <v>56555</v>
      </c>
      <c r="J57" s="107">
        <v>55741</v>
      </c>
      <c r="K57" s="107">
        <v>41879.061979999977</v>
      </c>
      <c r="M57" s="101" t="s">
        <v>159</v>
      </c>
      <c r="N57" s="99">
        <f t="shared" si="2"/>
        <v>0.57759205457361162</v>
      </c>
      <c r="O57" s="99">
        <f t="shared" si="2"/>
        <v>0.55616054020638162</v>
      </c>
      <c r="P57" s="99">
        <f t="shared" si="2"/>
        <v>0.57541366804196825</v>
      </c>
      <c r="Q57" s="99">
        <f t="shared" si="2"/>
        <v>0.57236586906648634</v>
      </c>
      <c r="R57" s="99">
        <f t="shared" si="2"/>
        <v>0.58035303146584805</v>
      </c>
      <c r="S57" s="99">
        <f t="shared" si="2"/>
        <v>0.60145984610285641</v>
      </c>
      <c r="T57" s="99">
        <f t="shared" si="2"/>
        <v>0.6197935489700036</v>
      </c>
      <c r="U57" s="99">
        <f t="shared" si="2"/>
        <v>0.62813065739640372</v>
      </c>
      <c r="V57" s="99">
        <f t="shared" si="2"/>
        <v>0.62886830556088313</v>
      </c>
      <c r="W57" s="99">
        <f t="shared" si="2"/>
        <v>0.62244096475997523</v>
      </c>
      <c r="Y57" s="99">
        <v>0.12116570008949254</v>
      </c>
      <c r="Z57" s="99">
        <v>0.30278578589043958</v>
      </c>
      <c r="AA57" s="99">
        <f t="shared" si="3"/>
        <v>0.19848947878004308</v>
      </c>
    </row>
    <row r="58" spans="1:27">
      <c r="A58" s="102" t="s">
        <v>160</v>
      </c>
      <c r="B58" s="110">
        <v>57533</v>
      </c>
      <c r="C58" s="110">
        <v>61583</v>
      </c>
      <c r="D58" s="110">
        <v>62323</v>
      </c>
      <c r="E58" s="110">
        <v>63655</v>
      </c>
      <c r="F58" s="110">
        <v>64964</v>
      </c>
      <c r="G58" s="110">
        <v>67840</v>
      </c>
      <c r="H58" s="110">
        <v>69096</v>
      </c>
      <c r="I58" s="110">
        <v>70771</v>
      </c>
      <c r="J58" s="110">
        <v>73118</v>
      </c>
      <c r="K58" s="110">
        <v>56768</v>
      </c>
      <c r="M58" s="102" t="s">
        <v>160</v>
      </c>
      <c r="N58" s="103">
        <f t="shared" si="2"/>
        <v>0.57633859253693964</v>
      </c>
      <c r="O58" s="103">
        <f t="shared" si="2"/>
        <v>0.56744927482815177</v>
      </c>
      <c r="P58" s="103">
        <f t="shared" si="2"/>
        <v>0.56879101222038675</v>
      </c>
      <c r="Q58" s="103">
        <f t="shared" si="2"/>
        <v>0.57254002518438563</v>
      </c>
      <c r="R58" s="103">
        <f t="shared" si="2"/>
        <v>0.57071572270686732</v>
      </c>
      <c r="S58" s="103">
        <f t="shared" si="2"/>
        <v>0.58438426021638756</v>
      </c>
      <c r="T58" s="103">
        <f t="shared" si="2"/>
        <v>0.58522703210888738</v>
      </c>
      <c r="U58" s="103">
        <f t="shared" si="2"/>
        <v>0.59371146215216319</v>
      </c>
      <c r="V58" s="103">
        <f t="shared" si="2"/>
        <v>0.60319424507911368</v>
      </c>
      <c r="W58" s="103">
        <f t="shared" si="2"/>
        <v>0.61472489631498584</v>
      </c>
      <c r="Y58" s="103">
        <v>0.1717760187120318</v>
      </c>
      <c r="Z58" s="103">
        <v>0.27291628314942551</v>
      </c>
      <c r="AA58" s="103">
        <f t="shared" si="3"/>
        <v>0.17003259445352853</v>
      </c>
    </row>
    <row r="59" spans="1:27">
      <c r="A59" s="105" t="s">
        <v>161</v>
      </c>
      <c r="B59" s="107">
        <v>3834454.7896000003</v>
      </c>
      <c r="C59" s="107">
        <v>4202909.9386</v>
      </c>
      <c r="D59" s="107">
        <v>4573354.0460000001</v>
      </c>
      <c r="E59" s="107">
        <v>4616012.6153999995</v>
      </c>
      <c r="F59" s="107">
        <v>4842894.9570699995</v>
      </c>
      <c r="G59" s="107">
        <v>5013210.7158199996</v>
      </c>
      <c r="H59" s="107">
        <v>5211205.6248589996</v>
      </c>
      <c r="I59" s="107">
        <v>5411446.8187600002</v>
      </c>
      <c r="J59" s="107">
        <v>5617662.5283400007</v>
      </c>
      <c r="K59" s="107">
        <v>4327303.8465599995</v>
      </c>
      <c r="M59" s="105" t="s">
        <v>161</v>
      </c>
      <c r="N59" s="99">
        <f t="shared" si="2"/>
        <v>0.61164001186400363</v>
      </c>
      <c r="O59" s="99">
        <f t="shared" si="2"/>
        <v>0.61206546904337256</v>
      </c>
      <c r="P59" s="99">
        <f t="shared" si="2"/>
        <v>0.63453388229387275</v>
      </c>
      <c r="Q59" s="99">
        <f t="shared" si="2"/>
        <v>0.60866039501721747</v>
      </c>
      <c r="R59" s="99">
        <f t="shared" si="2"/>
        <v>0.62170194808373413</v>
      </c>
      <c r="S59" s="99">
        <f t="shared" si="2"/>
        <v>0.62541796308817776</v>
      </c>
      <c r="T59" s="99">
        <f t="shared" si="2"/>
        <v>0.62770278264325929</v>
      </c>
      <c r="U59" s="99">
        <f t="shared" si="2"/>
        <v>0.62516534441323957</v>
      </c>
      <c r="V59" s="99">
        <f t="shared" si="2"/>
        <v>0.63072267959798567</v>
      </c>
      <c r="W59" s="99">
        <f t="shared" si="2"/>
        <v>0.63004853224977431</v>
      </c>
      <c r="Y59" s="99">
        <v>0.19903833408495289</v>
      </c>
      <c r="Z59" s="99">
        <v>0.24148209157221945</v>
      </c>
      <c r="AA59" s="99">
        <f t="shared" si="3"/>
        <v>0.189528106592602</v>
      </c>
    </row>
    <row r="60" spans="1:27">
      <c r="I60" s="55"/>
      <c r="J60" s="55"/>
      <c r="Q60" s="99"/>
    </row>
    <row r="61" spans="1:27">
      <c r="A61" s="95" t="s">
        <v>170</v>
      </c>
      <c r="K61" s="14" t="s">
        <v>165</v>
      </c>
      <c r="M61" s="95" t="s">
        <v>171</v>
      </c>
      <c r="W61" s="14" t="s">
        <v>165</v>
      </c>
    </row>
    <row r="62" spans="1:27">
      <c r="A62" s="101" t="s">
        <v>139</v>
      </c>
      <c r="B62" s="107">
        <v>39649.58</v>
      </c>
      <c r="C62" s="107">
        <v>44063.06</v>
      </c>
      <c r="D62" s="107">
        <v>38838.328999999998</v>
      </c>
      <c r="E62" s="107">
        <v>53803.278999999995</v>
      </c>
      <c r="F62" s="107">
        <v>88313.49</v>
      </c>
      <c r="G62" s="107">
        <v>87522.723999999987</v>
      </c>
      <c r="H62" s="107">
        <v>84765.995999999999</v>
      </c>
      <c r="I62" s="107">
        <v>93592.483999999997</v>
      </c>
      <c r="J62" s="107">
        <v>97713.678</v>
      </c>
      <c r="K62" s="107">
        <v>74212.043000000005</v>
      </c>
      <c r="M62" s="101" t="s">
        <v>139</v>
      </c>
      <c r="N62" s="99">
        <f>B62/B112</f>
        <v>3.8661306665617665E-2</v>
      </c>
      <c r="O62" s="99">
        <f t="shared" ref="O62:W77" si="4">C62/C112</f>
        <v>3.9967870132099209E-2</v>
      </c>
      <c r="P62" s="99">
        <f t="shared" si="4"/>
        <v>3.3798153150296967E-2</v>
      </c>
      <c r="Q62" s="99">
        <f t="shared" si="4"/>
        <v>4.488293981776386E-2</v>
      </c>
      <c r="R62" s="99">
        <f t="shared" si="4"/>
        <v>7.1517625323214373E-2</v>
      </c>
      <c r="S62" s="99">
        <f t="shared" si="4"/>
        <v>6.9444740367530955E-2</v>
      </c>
      <c r="T62" s="99">
        <f t="shared" si="4"/>
        <v>6.5114992840039063E-2</v>
      </c>
      <c r="U62" s="99">
        <f t="shared" si="4"/>
        <v>6.9592909601827638E-2</v>
      </c>
      <c r="V62" s="99">
        <f t="shared" si="4"/>
        <v>6.9731876312587968E-2</v>
      </c>
      <c r="W62" s="99">
        <f t="shared" si="4"/>
        <v>6.9104927180967252E-2</v>
      </c>
    </row>
    <row r="63" spans="1:27">
      <c r="A63" s="101" t="s">
        <v>140</v>
      </c>
      <c r="B63" s="107">
        <v>26895</v>
      </c>
      <c r="C63" s="107">
        <v>26035</v>
      </c>
      <c r="D63" s="107">
        <v>24694</v>
      </c>
      <c r="E63" s="107">
        <v>23527</v>
      </c>
      <c r="F63" s="107">
        <v>22228</v>
      </c>
      <c r="G63" s="107">
        <v>21862</v>
      </c>
      <c r="H63" s="107">
        <v>23476</v>
      </c>
      <c r="I63" s="107">
        <v>29638</v>
      </c>
      <c r="J63" s="107">
        <v>31428.972359999996</v>
      </c>
      <c r="K63" s="107">
        <v>23248.750059999998</v>
      </c>
      <c r="M63" s="101" t="s">
        <v>140</v>
      </c>
      <c r="N63" s="99">
        <f t="shared" ref="N63:W84" si="5">B63/B113</f>
        <v>0.10374356303882427</v>
      </c>
      <c r="O63" s="99">
        <f t="shared" si="4"/>
        <v>9.0452383516716403E-2</v>
      </c>
      <c r="P63" s="99">
        <f t="shared" si="4"/>
        <v>8.1966070415008419E-2</v>
      </c>
      <c r="Q63" s="99">
        <f t="shared" si="4"/>
        <v>7.6443448029372585E-2</v>
      </c>
      <c r="R63" s="99">
        <f t="shared" si="4"/>
        <v>6.841721326360696E-2</v>
      </c>
      <c r="S63" s="99">
        <f t="shared" si="4"/>
        <v>6.4622733533943044E-2</v>
      </c>
      <c r="T63" s="99">
        <f t="shared" si="4"/>
        <v>6.905558921984481E-2</v>
      </c>
      <c r="U63" s="99">
        <f t="shared" si="4"/>
        <v>8.2069259610006259E-2</v>
      </c>
      <c r="V63" s="99">
        <f t="shared" si="4"/>
        <v>8.296592315311492E-2</v>
      </c>
      <c r="W63" s="99">
        <f t="shared" si="4"/>
        <v>7.8505132863703989E-2</v>
      </c>
    </row>
    <row r="64" spans="1:27">
      <c r="A64" s="101" t="s">
        <v>141</v>
      </c>
      <c r="B64" s="107">
        <v>21463</v>
      </c>
      <c r="C64" s="107">
        <v>21064</v>
      </c>
      <c r="D64" s="107">
        <v>18788</v>
      </c>
      <c r="E64" s="107">
        <v>19801</v>
      </c>
      <c r="F64" s="107">
        <v>29527</v>
      </c>
      <c r="G64" s="107">
        <v>19420</v>
      </c>
      <c r="H64" s="107">
        <v>20083</v>
      </c>
      <c r="I64" s="107">
        <v>19750</v>
      </c>
      <c r="J64" s="107">
        <v>24800</v>
      </c>
      <c r="K64" s="107">
        <v>17752</v>
      </c>
      <c r="M64" s="101" t="s">
        <v>141</v>
      </c>
      <c r="N64" s="99">
        <f t="shared" si="5"/>
        <v>3.0101244412904422E-2</v>
      </c>
      <c r="O64" s="99">
        <f t="shared" si="4"/>
        <v>2.7532373150969267E-2</v>
      </c>
      <c r="P64" s="99">
        <f t="shared" si="4"/>
        <v>2.3454069945259687E-2</v>
      </c>
      <c r="Q64" s="99">
        <f t="shared" si="4"/>
        <v>2.3726246493665532E-2</v>
      </c>
      <c r="R64" s="99">
        <f t="shared" si="4"/>
        <v>3.3190650369034798E-2</v>
      </c>
      <c r="S64" s="99">
        <f t="shared" si="4"/>
        <v>2.1116614382567376E-2</v>
      </c>
      <c r="T64" s="99">
        <f t="shared" si="4"/>
        <v>2.1139955494830536E-2</v>
      </c>
      <c r="U64" s="99">
        <f t="shared" si="4"/>
        <v>1.9941285585501789E-2</v>
      </c>
      <c r="V64" s="99">
        <f t="shared" si="4"/>
        <v>2.4501619280403248E-2</v>
      </c>
      <c r="W64" s="99">
        <f t="shared" si="4"/>
        <v>2.233515055969985E-2</v>
      </c>
    </row>
    <row r="65" spans="1:23">
      <c r="A65" s="101" t="s">
        <v>142</v>
      </c>
      <c r="B65" s="107">
        <v>21496.3325</v>
      </c>
      <c r="C65" s="107">
        <v>29575.452600000001</v>
      </c>
      <c r="D65" s="107">
        <v>19389.691000000003</v>
      </c>
      <c r="E65" s="107">
        <v>21435.401099999999</v>
      </c>
      <c r="F65" s="107">
        <v>22460.377120000005</v>
      </c>
      <c r="G65" s="107">
        <v>20378.940340000001</v>
      </c>
      <c r="H65" s="107">
        <v>19905.172010000002</v>
      </c>
      <c r="I65" s="107">
        <v>28034.7808</v>
      </c>
      <c r="J65" s="107">
        <v>35986.041249999995</v>
      </c>
      <c r="K65" s="107">
        <v>22961.86145</v>
      </c>
      <c r="M65" s="101" t="s">
        <v>142</v>
      </c>
      <c r="N65" s="99">
        <f t="shared" si="5"/>
        <v>4.4954892291462115E-2</v>
      </c>
      <c r="O65" s="99">
        <f t="shared" si="4"/>
        <v>5.6473075015028573E-2</v>
      </c>
      <c r="P65" s="99">
        <f t="shared" si="4"/>
        <v>3.3587902970733344E-2</v>
      </c>
      <c r="Q65" s="99">
        <f t="shared" si="4"/>
        <v>3.7237007927535593E-2</v>
      </c>
      <c r="R65" s="99">
        <f t="shared" si="4"/>
        <v>3.6676260019810968E-2</v>
      </c>
      <c r="S65" s="99">
        <f t="shared" si="4"/>
        <v>3.2614063671874353E-2</v>
      </c>
      <c r="T65" s="99">
        <f t="shared" si="4"/>
        <v>3.0620204874704082E-2</v>
      </c>
      <c r="U65" s="99">
        <f t="shared" si="4"/>
        <v>4.2229752756925226E-2</v>
      </c>
      <c r="V65" s="99">
        <f t="shared" si="4"/>
        <v>5.2445311988018641E-2</v>
      </c>
      <c r="W65" s="99">
        <f t="shared" si="4"/>
        <v>4.4443559274236134E-2</v>
      </c>
    </row>
    <row r="66" spans="1:23">
      <c r="A66" s="101" t="s">
        <v>143</v>
      </c>
      <c r="B66" s="107">
        <v>46914</v>
      </c>
      <c r="C66" s="107">
        <v>48860</v>
      </c>
      <c r="D66" s="107">
        <v>49552</v>
      </c>
      <c r="E66" s="107">
        <v>54151</v>
      </c>
      <c r="F66" s="107">
        <v>57340</v>
      </c>
      <c r="G66" s="107">
        <v>61298</v>
      </c>
      <c r="H66" s="107">
        <v>64971</v>
      </c>
      <c r="I66" s="107">
        <v>68120</v>
      </c>
      <c r="J66" s="107">
        <v>71645</v>
      </c>
      <c r="K66" s="107">
        <v>63189</v>
      </c>
      <c r="M66" s="101" t="s">
        <v>143</v>
      </c>
      <c r="N66" s="99">
        <f t="shared" si="5"/>
        <v>8.3754211008339005E-2</v>
      </c>
      <c r="O66" s="99">
        <f t="shared" si="4"/>
        <v>7.8943329159429657E-2</v>
      </c>
      <c r="P66" s="99">
        <f t="shared" si="4"/>
        <v>7.5536470218795393E-2</v>
      </c>
      <c r="Q66" s="99">
        <f t="shared" si="4"/>
        <v>6.945338692838289E-2</v>
      </c>
      <c r="R66" s="99">
        <f t="shared" si="4"/>
        <v>7.7800316140105699E-2</v>
      </c>
      <c r="S66" s="99">
        <f t="shared" si="4"/>
        <v>8.0202331046249339E-2</v>
      </c>
      <c r="T66" s="99">
        <f t="shared" si="4"/>
        <v>8.1406785840925297E-2</v>
      </c>
      <c r="U66" s="99">
        <f t="shared" si="4"/>
        <v>8.1592564200843237E-2</v>
      </c>
      <c r="V66" s="99">
        <f t="shared" si="4"/>
        <v>8.33325579123185E-2</v>
      </c>
      <c r="W66" s="99">
        <f t="shared" si="4"/>
        <v>9.3981741761036602E-2</v>
      </c>
    </row>
    <row r="67" spans="1:23">
      <c r="A67" s="101" t="s">
        <v>144</v>
      </c>
      <c r="B67" s="107">
        <v>13446.8202</v>
      </c>
      <c r="C67" s="107">
        <v>13857.889200000001</v>
      </c>
      <c r="D67" s="107">
        <v>10654.407000000001</v>
      </c>
      <c r="E67" s="107">
        <v>10837.3925</v>
      </c>
      <c r="F67" s="107">
        <v>12503.163500000002</v>
      </c>
      <c r="G67" s="107">
        <v>13182.9565</v>
      </c>
      <c r="H67" s="107">
        <v>15532.709039999998</v>
      </c>
      <c r="I67" s="107">
        <v>12818.087169999999</v>
      </c>
      <c r="J67" s="107">
        <v>14651.527760000004</v>
      </c>
      <c r="K67" s="107">
        <v>13805.289539999998</v>
      </c>
      <c r="M67" s="101" t="s">
        <v>144</v>
      </c>
      <c r="N67" s="99">
        <f t="shared" si="5"/>
        <v>6.152344142610304E-2</v>
      </c>
      <c r="O67" s="99">
        <f t="shared" si="4"/>
        <v>5.8648951328686277E-2</v>
      </c>
      <c r="P67" s="99">
        <f t="shared" si="4"/>
        <v>4.4487046640808443E-2</v>
      </c>
      <c r="Q67" s="99">
        <f t="shared" si="4"/>
        <v>4.4782176862098975E-2</v>
      </c>
      <c r="R67" s="99">
        <f t="shared" si="4"/>
        <v>4.934673949318303E-2</v>
      </c>
      <c r="S67" s="99">
        <f t="shared" si="4"/>
        <v>5.0932305036597209E-2</v>
      </c>
      <c r="T67" s="99">
        <f t="shared" si="4"/>
        <v>5.7036551037176933E-2</v>
      </c>
      <c r="U67" s="99">
        <f t="shared" si="4"/>
        <v>4.5684394158090912E-2</v>
      </c>
      <c r="V67" s="99">
        <f t="shared" si="4"/>
        <v>5.0494875103365894E-2</v>
      </c>
      <c r="W67" s="99">
        <f t="shared" si="4"/>
        <v>6.2435829826552096E-2</v>
      </c>
    </row>
    <row r="68" spans="1:23">
      <c r="A68" s="101" t="s">
        <v>145</v>
      </c>
      <c r="B68" s="107">
        <v>7729</v>
      </c>
      <c r="C68" s="107">
        <v>8531</v>
      </c>
      <c r="D68" s="107">
        <v>6560</v>
      </c>
      <c r="E68" s="107">
        <v>6286</v>
      </c>
      <c r="F68" s="107">
        <v>5521</v>
      </c>
      <c r="G68" s="107">
        <v>9194</v>
      </c>
      <c r="H68" s="107">
        <v>11019</v>
      </c>
      <c r="I68" s="107">
        <v>12545</v>
      </c>
      <c r="J68" s="107">
        <v>17292</v>
      </c>
      <c r="K68" s="107">
        <v>10156</v>
      </c>
      <c r="M68" s="101" t="s">
        <v>145</v>
      </c>
      <c r="N68" s="99">
        <f t="shared" si="5"/>
        <v>4.3509834607460114E-2</v>
      </c>
      <c r="O68" s="99">
        <f t="shared" si="4"/>
        <v>4.32935803095661E-2</v>
      </c>
      <c r="P68" s="99">
        <f t="shared" si="4"/>
        <v>3.147188639416619E-2</v>
      </c>
      <c r="Q68" s="99">
        <f t="shared" si="4"/>
        <v>2.9427323499257998E-2</v>
      </c>
      <c r="R68" s="99">
        <f t="shared" si="4"/>
        <v>2.5248321656575264E-2</v>
      </c>
      <c r="S68" s="99">
        <f t="shared" si="4"/>
        <v>4.0976227192098903E-2</v>
      </c>
      <c r="T68" s="99">
        <f t="shared" si="4"/>
        <v>4.774615114631494E-2</v>
      </c>
      <c r="U68" s="99">
        <f t="shared" si="4"/>
        <v>5.1638052037325938E-2</v>
      </c>
      <c r="V68" s="99">
        <f t="shared" si="4"/>
        <v>6.9496021220159146E-2</v>
      </c>
      <c r="W68" s="99">
        <f t="shared" si="4"/>
        <v>5.5544617269366235E-2</v>
      </c>
    </row>
    <row r="69" spans="1:23">
      <c r="A69" s="101" t="s">
        <v>146</v>
      </c>
      <c r="B69" s="107">
        <v>9003</v>
      </c>
      <c r="C69" s="107">
        <v>10510</v>
      </c>
      <c r="D69" s="107">
        <v>11247.058200000001</v>
      </c>
      <c r="E69" s="107">
        <v>10297</v>
      </c>
      <c r="F69" s="107">
        <v>11711</v>
      </c>
      <c r="G69" s="107">
        <v>10249</v>
      </c>
      <c r="H69" s="107">
        <v>8698</v>
      </c>
      <c r="I69" s="107">
        <v>12076</v>
      </c>
      <c r="J69" s="107">
        <v>10477</v>
      </c>
      <c r="K69" s="107">
        <v>10487</v>
      </c>
      <c r="M69" s="101" t="s">
        <v>146</v>
      </c>
      <c r="N69" s="99">
        <f t="shared" si="5"/>
        <v>7.3398010761454427E-2</v>
      </c>
      <c r="O69" s="99">
        <f t="shared" si="4"/>
        <v>7.9613371410391404E-2</v>
      </c>
      <c r="P69" s="99">
        <f t="shared" si="4"/>
        <v>8.0065172015131192E-2</v>
      </c>
      <c r="Q69" s="99">
        <f t="shared" si="4"/>
        <v>7.1041778125659191E-2</v>
      </c>
      <c r="R69" s="99">
        <f t="shared" si="4"/>
        <v>7.6291668566738108E-2</v>
      </c>
      <c r="S69" s="99">
        <f t="shared" si="4"/>
        <v>6.565158347852823E-2</v>
      </c>
      <c r="T69" s="99">
        <f t="shared" si="4"/>
        <v>5.4431900673358534E-2</v>
      </c>
      <c r="U69" s="99">
        <f t="shared" si="4"/>
        <v>7.0995620094652989E-2</v>
      </c>
      <c r="V69" s="99">
        <f t="shared" si="4"/>
        <v>6.0175984744925505E-2</v>
      </c>
      <c r="W69" s="99">
        <f t="shared" si="4"/>
        <v>7.842272142622117E-2</v>
      </c>
    </row>
    <row r="70" spans="1:23">
      <c r="A70" s="101" t="s">
        <v>147</v>
      </c>
      <c r="B70" s="107">
        <v>22432</v>
      </c>
      <c r="C70" s="107">
        <v>24581</v>
      </c>
      <c r="D70" s="107">
        <v>20628</v>
      </c>
      <c r="E70" s="107">
        <v>18119</v>
      </c>
      <c r="F70" s="107">
        <v>21159</v>
      </c>
      <c r="G70" s="107">
        <v>20700</v>
      </c>
      <c r="H70" s="107">
        <v>21687</v>
      </c>
      <c r="I70" s="107">
        <v>22820</v>
      </c>
      <c r="J70" s="107">
        <v>25403</v>
      </c>
      <c r="K70" s="107">
        <v>19388</v>
      </c>
      <c r="M70" s="101" t="s">
        <v>147</v>
      </c>
      <c r="N70" s="99">
        <f t="shared" si="5"/>
        <v>8.3908759697461643E-2</v>
      </c>
      <c r="O70" s="99">
        <f t="shared" si="4"/>
        <v>8.5331731837369473E-2</v>
      </c>
      <c r="P70" s="99">
        <f t="shared" si="4"/>
        <v>6.8257172165050797E-2</v>
      </c>
      <c r="Q70" s="99">
        <f t="shared" si="4"/>
        <v>6.008701823270745E-2</v>
      </c>
      <c r="R70" s="99">
        <f t="shared" si="4"/>
        <v>6.6166951235529209E-2</v>
      </c>
      <c r="S70" s="99">
        <f t="shared" si="4"/>
        <v>6.1391905758975969E-2</v>
      </c>
      <c r="T70" s="99">
        <f t="shared" si="4"/>
        <v>6.1856816885339415E-2</v>
      </c>
      <c r="U70" s="99">
        <f t="shared" si="4"/>
        <v>6.4249836700677979E-2</v>
      </c>
      <c r="V70" s="99">
        <f t="shared" si="4"/>
        <v>7.1493301812450755E-2</v>
      </c>
      <c r="W70" s="99">
        <f t="shared" si="4"/>
        <v>7.111469757546858E-2</v>
      </c>
    </row>
    <row r="71" spans="1:23">
      <c r="A71" s="101" t="s">
        <v>148</v>
      </c>
      <c r="B71" s="107">
        <v>12230</v>
      </c>
      <c r="C71" s="107">
        <v>14759</v>
      </c>
      <c r="D71" s="107">
        <v>10980.625700000001</v>
      </c>
      <c r="E71" s="107">
        <v>11797.076999999999</v>
      </c>
      <c r="F71" s="107">
        <v>11670.483250000001</v>
      </c>
      <c r="G71" s="107">
        <v>11334.242250000001</v>
      </c>
      <c r="H71" s="107">
        <v>13657.83021</v>
      </c>
      <c r="I71" s="107">
        <v>13838.040059999999</v>
      </c>
      <c r="J71" s="107">
        <v>13689.851709999999</v>
      </c>
      <c r="K71" s="107">
        <v>10401.20226</v>
      </c>
      <c r="M71" s="101" t="s">
        <v>148</v>
      </c>
      <c r="N71" s="99">
        <f t="shared" si="5"/>
        <v>6.1393730038566602E-2</v>
      </c>
      <c r="O71" s="99">
        <f t="shared" si="4"/>
        <v>6.6774043225097154E-2</v>
      </c>
      <c r="P71" s="99">
        <f t="shared" si="4"/>
        <v>4.9632101451361363E-2</v>
      </c>
      <c r="Q71" s="99">
        <f t="shared" si="4"/>
        <v>5.2174870491512274E-2</v>
      </c>
      <c r="R71" s="99">
        <f t="shared" si="4"/>
        <v>4.9561663221651994E-2</v>
      </c>
      <c r="S71" s="99">
        <f t="shared" si="4"/>
        <v>4.769829268245572E-2</v>
      </c>
      <c r="T71" s="99">
        <f t="shared" si="4"/>
        <v>5.6254985998891602E-2</v>
      </c>
      <c r="U71" s="99">
        <f t="shared" si="4"/>
        <v>5.5214954695266105E-2</v>
      </c>
      <c r="V71" s="99">
        <f t="shared" si="4"/>
        <v>5.2454656519108425E-2</v>
      </c>
      <c r="W71" s="99">
        <f t="shared" si="4"/>
        <v>5.2607061819105079E-2</v>
      </c>
    </row>
    <row r="72" spans="1:23">
      <c r="A72" s="101" t="s">
        <v>149</v>
      </c>
      <c r="B72" s="107">
        <v>10077.0651</v>
      </c>
      <c r="C72" s="107">
        <v>12933.032299999999</v>
      </c>
      <c r="D72" s="107">
        <v>12200.034900000001</v>
      </c>
      <c r="E72" s="107">
        <v>13963.465700000001</v>
      </c>
      <c r="F72" s="107">
        <v>14658.11803</v>
      </c>
      <c r="G72" s="107">
        <v>23390.001179999999</v>
      </c>
      <c r="H72" s="107">
        <v>23520.251850000001</v>
      </c>
      <c r="I72" s="107">
        <v>23255.599099999999</v>
      </c>
      <c r="J72" s="107">
        <v>24330.991019999994</v>
      </c>
      <c r="K72" s="107">
        <v>19787.432990000001</v>
      </c>
      <c r="M72" s="101" t="s">
        <v>149</v>
      </c>
      <c r="N72" s="99">
        <f t="shared" si="5"/>
        <v>4.9056809505886236E-2</v>
      </c>
      <c r="O72" s="99">
        <f t="shared" si="4"/>
        <v>5.6697915128919113E-2</v>
      </c>
      <c r="P72" s="99">
        <f t="shared" si="4"/>
        <v>4.8814349769629777E-2</v>
      </c>
      <c r="Q72" s="99">
        <f t="shared" si="4"/>
        <v>5.3508563416410158E-2</v>
      </c>
      <c r="R72" s="99">
        <f t="shared" si="4"/>
        <v>5.3972097342880894E-2</v>
      </c>
      <c r="S72" s="99">
        <f t="shared" si="4"/>
        <v>8.2661285074383334E-2</v>
      </c>
      <c r="T72" s="99">
        <f t="shared" si="4"/>
        <v>7.9893829833990279E-2</v>
      </c>
      <c r="U72" s="99">
        <f t="shared" si="4"/>
        <v>7.5928048179946292E-2</v>
      </c>
      <c r="V72" s="99">
        <f t="shared" si="4"/>
        <v>7.5291052160855507E-2</v>
      </c>
      <c r="W72" s="99">
        <f t="shared" si="4"/>
        <v>7.8561565245437434E-2</v>
      </c>
    </row>
    <row r="73" spans="1:23">
      <c r="A73" s="101" t="s">
        <v>150</v>
      </c>
      <c r="B73" s="107">
        <v>5995.51</v>
      </c>
      <c r="C73" s="107">
        <v>6225.46</v>
      </c>
      <c r="D73" s="107"/>
      <c r="E73" s="107"/>
      <c r="F73" s="107"/>
      <c r="G73" s="107"/>
      <c r="H73" s="107"/>
      <c r="I73" s="107"/>
      <c r="J73" s="107"/>
      <c r="K73" s="107"/>
      <c r="M73" s="101" t="s">
        <v>150</v>
      </c>
      <c r="N73" s="99">
        <f t="shared" si="5"/>
        <v>2.1650394682552046E-2</v>
      </c>
      <c r="O73" s="99">
        <f t="shared" si="4"/>
        <v>2.1551949758622152E-2</v>
      </c>
      <c r="P73" s="99"/>
      <c r="Q73" s="99"/>
      <c r="R73" s="99"/>
      <c r="S73" s="99"/>
      <c r="T73" s="99"/>
      <c r="U73" s="99"/>
      <c r="V73" s="99"/>
      <c r="W73" s="99"/>
    </row>
    <row r="74" spans="1:23">
      <c r="A74" s="101" t="s">
        <v>151</v>
      </c>
      <c r="B74" s="107">
        <v>8233</v>
      </c>
      <c r="C74" s="107">
        <v>9175</v>
      </c>
      <c r="D74" s="107">
        <v>10292</v>
      </c>
      <c r="E74" s="107">
        <v>9265</v>
      </c>
      <c r="F74" s="107">
        <v>8975</v>
      </c>
      <c r="G74" s="107">
        <v>8922</v>
      </c>
      <c r="H74" s="107">
        <v>10321</v>
      </c>
      <c r="I74" s="107">
        <v>10592</v>
      </c>
      <c r="J74" s="107">
        <v>11335</v>
      </c>
      <c r="K74" s="107">
        <v>8673</v>
      </c>
      <c r="M74" s="101" t="s">
        <v>151</v>
      </c>
      <c r="N74" s="99">
        <f t="shared" si="5"/>
        <v>0.11358055348619044</v>
      </c>
      <c r="O74" s="99">
        <f t="shared" si="4"/>
        <v>0.11706389711136062</v>
      </c>
      <c r="P74" s="99">
        <f t="shared" si="4"/>
        <v>0.12837399590879608</v>
      </c>
      <c r="Q74" s="99">
        <f t="shared" si="4"/>
        <v>0.10953478749187208</v>
      </c>
      <c r="R74" s="99">
        <f t="shared" si="4"/>
        <v>0.10289127344430687</v>
      </c>
      <c r="S74" s="99">
        <f t="shared" si="4"/>
        <v>0.10084888492014152</v>
      </c>
      <c r="T74" s="99">
        <f t="shared" si="4"/>
        <v>0.11012120694806027</v>
      </c>
      <c r="U74" s="99">
        <f t="shared" si="4"/>
        <v>0.10903962363211481</v>
      </c>
      <c r="V74" s="99">
        <f t="shared" si="4"/>
        <v>0.11789975140678795</v>
      </c>
      <c r="W74" s="99">
        <f t="shared" si="4"/>
        <v>0.12005980149226872</v>
      </c>
    </row>
    <row r="75" spans="1:23">
      <c r="A75" s="101" t="s">
        <v>152</v>
      </c>
      <c r="B75" s="108">
        <f>B73+B76</f>
        <v>14673.4</v>
      </c>
      <c r="C75" s="108">
        <f>C73+C76</f>
        <v>20185.496199999998</v>
      </c>
      <c r="D75" s="107">
        <v>22423.730500000001</v>
      </c>
      <c r="E75" s="107">
        <v>17717.449100000005</v>
      </c>
      <c r="F75" s="107">
        <v>21001.604590000003</v>
      </c>
      <c r="G75" s="107">
        <v>16945.648820000002</v>
      </c>
      <c r="H75" s="107">
        <v>15611.013120000003</v>
      </c>
      <c r="I75" s="107">
        <v>29935.342100000005</v>
      </c>
      <c r="J75" s="107">
        <v>32575.055359999984</v>
      </c>
      <c r="K75" s="107">
        <v>29398.941750000002</v>
      </c>
      <c r="M75" s="101" t="s">
        <v>152</v>
      </c>
      <c r="N75" s="109">
        <f t="shared" si="5"/>
        <v>3.6704454664929345E-2</v>
      </c>
      <c r="O75" s="109">
        <f t="shared" si="4"/>
        <v>4.7299307662407662E-2</v>
      </c>
      <c r="P75" s="99">
        <f t="shared" si="4"/>
        <v>4.9845150491254382E-2</v>
      </c>
      <c r="Q75" s="99">
        <f t="shared" si="4"/>
        <v>3.877400614219139E-2</v>
      </c>
      <c r="R75" s="99">
        <f t="shared" si="4"/>
        <v>4.3496889959295376E-2</v>
      </c>
      <c r="S75" s="99">
        <f t="shared" si="4"/>
        <v>3.5129775194536875E-2</v>
      </c>
      <c r="T75" s="99">
        <f t="shared" si="4"/>
        <v>3.1249905092830849E-2</v>
      </c>
      <c r="U75" s="99">
        <f t="shared" si="4"/>
        <v>5.7044806149138996E-2</v>
      </c>
      <c r="V75" s="99">
        <f t="shared" si="4"/>
        <v>5.9847681321232568E-2</v>
      </c>
      <c r="W75" s="99">
        <f t="shared" si="4"/>
        <v>7.1797043290764306E-2</v>
      </c>
    </row>
    <row r="76" spans="1:23">
      <c r="A76" s="101" t="s">
        <v>153</v>
      </c>
      <c r="B76" s="107">
        <v>8677.89</v>
      </c>
      <c r="C76" s="107">
        <v>13960.036199999999</v>
      </c>
      <c r="D76" s="107"/>
      <c r="E76" s="107"/>
      <c r="F76" s="107"/>
      <c r="G76" s="107"/>
      <c r="H76" s="107"/>
      <c r="I76" s="107"/>
      <c r="J76" s="107"/>
      <c r="K76" s="107"/>
      <c r="M76" s="101" t="s">
        <v>153</v>
      </c>
      <c r="N76" s="99">
        <f t="shared" si="5"/>
        <v>7.0639349323735251E-2</v>
      </c>
      <c r="O76" s="99">
        <f t="shared" si="4"/>
        <v>0.10123112897206796</v>
      </c>
      <c r="P76" s="99"/>
      <c r="Q76" s="99"/>
      <c r="R76" s="99"/>
      <c r="S76" s="99"/>
      <c r="T76" s="99"/>
      <c r="U76" s="99"/>
      <c r="V76" s="99"/>
      <c r="W76" s="99"/>
    </row>
    <row r="77" spans="1:23">
      <c r="A77" s="101" t="s">
        <v>154</v>
      </c>
      <c r="B77" s="107">
        <v>4124.5340000000006</v>
      </c>
      <c r="C77" s="107">
        <v>4833.3640000000005</v>
      </c>
      <c r="D77" s="107">
        <v>5728.4130000000005</v>
      </c>
      <c r="E77" s="107">
        <v>5633.3450000000012</v>
      </c>
      <c r="F77" s="107">
        <v>5908</v>
      </c>
      <c r="G77" s="107">
        <v>5804</v>
      </c>
      <c r="H77" s="107">
        <v>6076</v>
      </c>
      <c r="I77" s="107">
        <v>7362</v>
      </c>
      <c r="J77" s="107">
        <v>5940.7380000000003</v>
      </c>
      <c r="K77" s="107">
        <v>5060</v>
      </c>
      <c r="M77" s="101" t="s">
        <v>154</v>
      </c>
      <c r="N77" s="99">
        <f t="shared" si="5"/>
        <v>6.216118842772729E-2</v>
      </c>
      <c r="O77" s="99">
        <f t="shared" si="4"/>
        <v>6.2076131611266752E-2</v>
      </c>
      <c r="P77" s="99">
        <f t="shared" si="4"/>
        <v>6.9643688917311167E-2</v>
      </c>
      <c r="Q77" s="99">
        <f t="shared" si="4"/>
        <v>6.6300942792746231E-2</v>
      </c>
      <c r="R77" s="99">
        <f t="shared" si="4"/>
        <v>6.8259543395877628E-2</v>
      </c>
      <c r="S77" s="99">
        <f t="shared" si="4"/>
        <v>6.3670370898559633E-2</v>
      </c>
      <c r="T77" s="99">
        <f t="shared" si="4"/>
        <v>6.6289180549645971E-2</v>
      </c>
      <c r="U77" s="99">
        <f t="shared" si="4"/>
        <v>7.656308498689629E-2</v>
      </c>
      <c r="V77" s="99">
        <f t="shared" si="4"/>
        <v>6.0691909082759329E-2</v>
      </c>
      <c r="W77" s="99">
        <f t="shared" si="4"/>
        <v>6.7090067753013086E-2</v>
      </c>
    </row>
    <row r="78" spans="1:23">
      <c r="A78" s="101" t="s">
        <v>155</v>
      </c>
      <c r="B78" s="107">
        <v>22742</v>
      </c>
      <c r="C78" s="107">
        <v>22893</v>
      </c>
      <c r="D78" s="107">
        <v>24487</v>
      </c>
      <c r="E78" s="107">
        <v>24170</v>
      </c>
      <c r="F78" s="107">
        <v>22062</v>
      </c>
      <c r="G78" s="107">
        <v>21617</v>
      </c>
      <c r="H78" s="107">
        <v>20011</v>
      </c>
      <c r="I78" s="107">
        <v>21301</v>
      </c>
      <c r="J78" s="107">
        <v>18184</v>
      </c>
      <c r="K78" s="107">
        <v>11553</v>
      </c>
      <c r="M78" s="101" t="s">
        <v>155</v>
      </c>
      <c r="N78" s="99">
        <f t="shared" si="5"/>
        <v>0.1445303811224587</v>
      </c>
      <c r="O78" s="99">
        <f t="shared" si="5"/>
        <v>0.13738904992528311</v>
      </c>
      <c r="P78" s="99">
        <f t="shared" si="5"/>
        <v>0.14152208338631189</v>
      </c>
      <c r="Q78" s="99">
        <f t="shared" si="5"/>
        <v>0.13942568386077045</v>
      </c>
      <c r="R78" s="99">
        <f t="shared" si="5"/>
        <v>0.12456243365929673</v>
      </c>
      <c r="S78" s="99">
        <f t="shared" si="5"/>
        <v>0.11860724142282601</v>
      </c>
      <c r="T78" s="99">
        <f t="shared" si="5"/>
        <v>0.10655314345351245</v>
      </c>
      <c r="U78" s="99">
        <f t="shared" si="5"/>
        <v>0.1088312683612211</v>
      </c>
      <c r="V78" s="99">
        <f t="shared" si="5"/>
        <v>8.9110609082578243E-2</v>
      </c>
      <c r="W78" s="99">
        <f t="shared" si="5"/>
        <v>7.4159899861989287E-2</v>
      </c>
    </row>
    <row r="79" spans="1:23">
      <c r="A79" s="101" t="s">
        <v>156</v>
      </c>
      <c r="B79" s="107">
        <v>28707</v>
      </c>
      <c r="C79" s="107">
        <v>48138</v>
      </c>
      <c r="D79" s="107">
        <v>49294</v>
      </c>
      <c r="E79" s="107">
        <v>45914</v>
      </c>
      <c r="F79" s="107">
        <v>47748</v>
      </c>
      <c r="G79" s="107">
        <v>60403</v>
      </c>
      <c r="H79" s="107">
        <v>52354.8</v>
      </c>
      <c r="I79" s="107">
        <v>51748.328020000001</v>
      </c>
      <c r="J79" s="107">
        <v>61500.429259999997</v>
      </c>
      <c r="K79" s="107">
        <v>57331.016099999993</v>
      </c>
      <c r="M79" s="101" t="s">
        <v>156</v>
      </c>
      <c r="N79" s="99">
        <f t="shared" si="5"/>
        <v>5.2167714460793595E-2</v>
      </c>
      <c r="O79" s="99">
        <f t="shared" si="5"/>
        <v>7.5595373634743279E-2</v>
      </c>
      <c r="P79" s="99">
        <f t="shared" si="5"/>
        <v>7.333845128424861E-2</v>
      </c>
      <c r="Q79" s="99">
        <f t="shared" si="5"/>
        <v>5.8914179616776821E-2</v>
      </c>
      <c r="R79" s="99">
        <f t="shared" si="5"/>
        <v>6.5146739797797878E-2</v>
      </c>
      <c r="S79" s="99">
        <f t="shared" si="5"/>
        <v>7.912801071057092E-2</v>
      </c>
      <c r="T79" s="99">
        <f t="shared" si="5"/>
        <v>6.6123221925182649E-2</v>
      </c>
      <c r="U79" s="99">
        <f t="shared" si="5"/>
        <v>6.2936517863991306E-2</v>
      </c>
      <c r="V79" s="99">
        <f t="shared" si="5"/>
        <v>7.3409834264970997E-2</v>
      </c>
      <c r="W79" s="99">
        <f t="shared" si="5"/>
        <v>8.6438540210819467E-2</v>
      </c>
    </row>
    <row r="80" spans="1:23">
      <c r="A80" s="101" t="s">
        <v>157</v>
      </c>
      <c r="B80" s="107">
        <v>5134.5</v>
      </c>
      <c r="C80" s="107">
        <v>5458</v>
      </c>
      <c r="D80" s="107">
        <v>5259</v>
      </c>
      <c r="E80" s="107">
        <v>5844</v>
      </c>
      <c r="F80" s="107">
        <v>6333</v>
      </c>
      <c r="G80" s="107">
        <v>7398</v>
      </c>
      <c r="H80" s="107">
        <v>9340</v>
      </c>
      <c r="I80" s="107">
        <v>7628.1</v>
      </c>
      <c r="J80" s="107">
        <v>7114.3569400000015</v>
      </c>
      <c r="K80" s="107">
        <v>6345.1050300000006</v>
      </c>
      <c r="M80" s="101" t="s">
        <v>157</v>
      </c>
      <c r="N80" s="99">
        <f t="shared" si="5"/>
        <v>9.6639406743772416E-2</v>
      </c>
      <c r="O80" s="99">
        <f t="shared" si="5"/>
        <v>9.185923220627093E-2</v>
      </c>
      <c r="P80" s="99">
        <f t="shared" si="5"/>
        <v>9.0628662025229206E-2</v>
      </c>
      <c r="Q80" s="99">
        <f t="shared" si="5"/>
        <v>9.8038886745290141E-2</v>
      </c>
      <c r="R80" s="99">
        <f t="shared" si="5"/>
        <v>0.10284684216509411</v>
      </c>
      <c r="S80" s="99">
        <f t="shared" si="5"/>
        <v>0.12119127186947121</v>
      </c>
      <c r="T80" s="99">
        <f t="shared" si="5"/>
        <v>0.14804013250701367</v>
      </c>
      <c r="U80" s="99">
        <f t="shared" si="5"/>
        <v>0.11779212155839341</v>
      </c>
      <c r="V80" s="99">
        <f t="shared" si="5"/>
        <v>0.10321713910865812</v>
      </c>
      <c r="W80" s="99">
        <f t="shared" si="5"/>
        <v>0.12387108690937076</v>
      </c>
    </row>
    <row r="81" spans="1:23">
      <c r="A81" s="101" t="s">
        <v>158</v>
      </c>
      <c r="B81" s="107">
        <v>44308</v>
      </c>
      <c r="C81" s="107">
        <v>49672</v>
      </c>
      <c r="D81" s="107">
        <v>45893</v>
      </c>
      <c r="E81" s="107">
        <v>40267</v>
      </c>
      <c r="F81" s="107">
        <v>49785</v>
      </c>
      <c r="G81" s="107">
        <v>52956</v>
      </c>
      <c r="H81" s="107">
        <v>58576</v>
      </c>
      <c r="I81" s="107">
        <v>65644</v>
      </c>
      <c r="J81" s="107">
        <v>63947</v>
      </c>
      <c r="K81" s="107">
        <v>50555</v>
      </c>
      <c r="M81" s="101" t="s">
        <v>158</v>
      </c>
      <c r="N81" s="99">
        <f t="shared" si="5"/>
        <v>7.8444425166376605E-2</v>
      </c>
      <c r="O81" s="99">
        <f t="shared" si="5"/>
        <v>7.9126032643152294E-2</v>
      </c>
      <c r="P81" s="99">
        <f t="shared" si="5"/>
        <v>7.0877986325720899E-2</v>
      </c>
      <c r="Q81" s="99">
        <f t="shared" si="5"/>
        <v>6.1184797324504159E-2</v>
      </c>
      <c r="R81" s="99">
        <f t="shared" si="5"/>
        <v>7.0585883390447621E-2</v>
      </c>
      <c r="S81" s="99">
        <f t="shared" si="5"/>
        <v>7.2066530488377439E-2</v>
      </c>
      <c r="T81" s="99">
        <f t="shared" si="5"/>
        <v>7.5367599755019277E-2</v>
      </c>
      <c r="U81" s="99">
        <f t="shared" si="5"/>
        <v>7.7669581267673954E-2</v>
      </c>
      <c r="V81" s="99">
        <f t="shared" si="5"/>
        <v>7.4613699928008106E-2</v>
      </c>
      <c r="W81" s="99">
        <f t="shared" si="5"/>
        <v>7.5745884580981651E-2</v>
      </c>
    </row>
    <row r="82" spans="1:23">
      <c r="A82" s="101" t="s">
        <v>159</v>
      </c>
      <c r="B82" s="107">
        <v>10125</v>
      </c>
      <c r="C82" s="107">
        <v>13425</v>
      </c>
      <c r="D82" s="107">
        <v>12087</v>
      </c>
      <c r="E82" s="107">
        <v>14025</v>
      </c>
      <c r="F82" s="107">
        <v>12764</v>
      </c>
      <c r="G82" s="107">
        <v>10194.755000000001</v>
      </c>
      <c r="H82" s="107">
        <v>7387</v>
      </c>
      <c r="I82" s="107">
        <v>6737</v>
      </c>
      <c r="J82" s="107">
        <v>6884</v>
      </c>
      <c r="K82" s="107">
        <v>5867.8775500000002</v>
      </c>
      <c r="M82" s="101" t="s">
        <v>159</v>
      </c>
      <c r="N82" s="104">
        <f t="shared" si="5"/>
        <v>0.12958673031881535</v>
      </c>
      <c r="O82" s="104">
        <f t="shared" si="5"/>
        <v>0.15960102715297922</v>
      </c>
      <c r="P82" s="104">
        <f t="shared" si="5"/>
        <v>0.13681253483982644</v>
      </c>
      <c r="Q82" s="104">
        <f t="shared" si="5"/>
        <v>0.1554378304092919</v>
      </c>
      <c r="R82" s="104">
        <f t="shared" si="5"/>
        <v>0.13994079596535466</v>
      </c>
      <c r="S82" s="104">
        <f t="shared" si="5"/>
        <v>0.11116884324026918</v>
      </c>
      <c r="T82" s="104">
        <f t="shared" si="5"/>
        <v>8.3427448500180704E-2</v>
      </c>
      <c r="U82" s="104">
        <f t="shared" si="5"/>
        <v>7.4824794251252269E-2</v>
      </c>
      <c r="V82" s="104">
        <f t="shared" si="5"/>
        <v>7.7665083430170243E-2</v>
      </c>
      <c r="W82" s="104">
        <f t="shared" si="5"/>
        <v>8.7213208477775042E-2</v>
      </c>
    </row>
    <row r="83" spans="1:23">
      <c r="A83" s="102" t="s">
        <v>160</v>
      </c>
      <c r="B83" s="110">
        <v>9135</v>
      </c>
      <c r="C83" s="110">
        <v>11047</v>
      </c>
      <c r="D83" s="110">
        <v>10759</v>
      </c>
      <c r="E83" s="110">
        <v>10468</v>
      </c>
      <c r="F83" s="110">
        <v>12209</v>
      </c>
      <c r="G83" s="110">
        <v>12351</v>
      </c>
      <c r="H83" s="110">
        <v>12595</v>
      </c>
      <c r="I83" s="110">
        <v>13138</v>
      </c>
      <c r="J83" s="110">
        <v>13449</v>
      </c>
      <c r="K83" s="110">
        <v>9666</v>
      </c>
      <c r="M83" s="102" t="s">
        <v>160</v>
      </c>
      <c r="N83" s="103">
        <f t="shared" si="5"/>
        <v>9.1510142749812173E-2</v>
      </c>
      <c r="O83" s="103">
        <f t="shared" si="5"/>
        <v>0.10179127582330501</v>
      </c>
      <c r="P83" s="103">
        <f t="shared" si="5"/>
        <v>9.8192039864562708E-2</v>
      </c>
      <c r="Q83" s="103">
        <f t="shared" si="5"/>
        <v>9.4153624752653362E-2</v>
      </c>
      <c r="R83" s="103">
        <f t="shared" si="5"/>
        <v>0.10725737729401119</v>
      </c>
      <c r="S83" s="103">
        <f t="shared" si="5"/>
        <v>0.10639342567707256</v>
      </c>
      <c r="T83" s="103">
        <f t="shared" si="5"/>
        <v>0.10667671745703711</v>
      </c>
      <c r="U83" s="103">
        <f t="shared" si="5"/>
        <v>0.11021719616446171</v>
      </c>
      <c r="V83" s="103">
        <f t="shared" si="5"/>
        <v>0.11094886897985448</v>
      </c>
      <c r="W83" s="103">
        <f t="shared" si="5"/>
        <v>0.10467042784281028</v>
      </c>
    </row>
    <row r="84" spans="1:23">
      <c r="A84" s="105" t="s">
        <v>161</v>
      </c>
      <c r="B84" s="107">
        <v>378518.23180000007</v>
      </c>
      <c r="C84" s="107">
        <v>439596.29430000001</v>
      </c>
      <c r="D84" s="107">
        <v>409755.2893</v>
      </c>
      <c r="E84" s="107">
        <v>417321.40940000006</v>
      </c>
      <c r="F84" s="107">
        <v>483877.23648999998</v>
      </c>
      <c r="G84" s="107">
        <v>495123.26808999997</v>
      </c>
      <c r="H84" s="107">
        <v>499587.77222999994</v>
      </c>
      <c r="I84" s="107">
        <v>550573.76124999998</v>
      </c>
      <c r="J84" s="107">
        <v>588347.64165999996</v>
      </c>
      <c r="K84" s="107">
        <v>469838.51973000006</v>
      </c>
      <c r="M84" s="105" t="s">
        <v>161</v>
      </c>
      <c r="N84" s="99">
        <f t="shared" si="5"/>
        <v>6.037804811699056E-2</v>
      </c>
      <c r="O84" s="99">
        <f t="shared" si="5"/>
        <v>6.4017958031735281E-2</v>
      </c>
      <c r="P84" s="99">
        <f t="shared" si="5"/>
        <v>5.6851844815597727E-2</v>
      </c>
      <c r="Q84" s="99">
        <f t="shared" si="5"/>
        <v>5.5027365620086165E-2</v>
      </c>
      <c r="R84" s="99">
        <f t="shared" si="5"/>
        <v>6.2117271430807648E-2</v>
      </c>
      <c r="S84" s="99">
        <f t="shared" si="5"/>
        <v>6.1768595688433833E-2</v>
      </c>
      <c r="T84" s="99">
        <f t="shared" si="5"/>
        <v>6.0176599692667608E-2</v>
      </c>
      <c r="U84" s="99">
        <f t="shared" si="5"/>
        <v>6.3605842689519437E-2</v>
      </c>
      <c r="V84" s="99">
        <f t="shared" si="5"/>
        <v>6.6056691588521732E-2</v>
      </c>
      <c r="W84" s="99">
        <f t="shared" si="5"/>
        <v>6.8407738454884737E-2</v>
      </c>
    </row>
    <row r="86" spans="1:23">
      <c r="A86" s="95" t="s">
        <v>172</v>
      </c>
      <c r="K86" s="14" t="s">
        <v>165</v>
      </c>
      <c r="M86" s="95" t="s">
        <v>173</v>
      </c>
      <c r="W86" s="14" t="s">
        <v>165</v>
      </c>
    </row>
    <row r="87" spans="1:23">
      <c r="A87" s="101" t="s">
        <v>139</v>
      </c>
      <c r="B87" s="111">
        <f>B112-B62-B37</f>
        <v>375622.80559999996</v>
      </c>
      <c r="C87" s="111">
        <f t="shared" ref="C87:K87" si="6">C112-C62-C37</f>
        <v>404023.36800000002</v>
      </c>
      <c r="D87" s="111">
        <f t="shared" si="6"/>
        <v>330480.26700000011</v>
      </c>
      <c r="E87" s="111">
        <f t="shared" si="6"/>
        <v>430332.34399999992</v>
      </c>
      <c r="F87" s="111">
        <f t="shared" si="6"/>
        <v>402177.70304000017</v>
      </c>
      <c r="G87" s="111">
        <f t="shared" si="6"/>
        <v>409294.09124999982</v>
      </c>
      <c r="H87" s="111">
        <f t="shared" si="6"/>
        <v>415235.22799999989</v>
      </c>
      <c r="I87" s="111">
        <f t="shared" si="6"/>
        <v>425638.59900000016</v>
      </c>
      <c r="J87" s="111">
        <f t="shared" si="6"/>
        <v>439614.8879999998</v>
      </c>
      <c r="K87" s="111">
        <f t="shared" si="6"/>
        <v>339545.16500000039</v>
      </c>
      <c r="M87" s="101" t="s">
        <v>139</v>
      </c>
      <c r="N87" s="99">
        <f>B87/B112</f>
        <v>0.3662603356177111</v>
      </c>
      <c r="O87" s="99">
        <f t="shared" ref="O87:W102" si="7">C87/C112</f>
        <v>0.36647371976792642</v>
      </c>
      <c r="P87" s="99">
        <f t="shared" si="7"/>
        <v>0.28759277149171469</v>
      </c>
      <c r="Q87" s="99">
        <f t="shared" si="7"/>
        <v>0.35898519674589446</v>
      </c>
      <c r="R87" s="99">
        <f t="shared" si="7"/>
        <v>0.32568970243804996</v>
      </c>
      <c r="S87" s="99">
        <f t="shared" si="7"/>
        <v>0.32475362513649325</v>
      </c>
      <c r="T87" s="99">
        <f t="shared" si="7"/>
        <v>0.31897270337213968</v>
      </c>
      <c r="U87" s="99">
        <f t="shared" si="7"/>
        <v>0.31649366783828042</v>
      </c>
      <c r="V87" s="99">
        <f t="shared" si="7"/>
        <v>0.3137244613306665</v>
      </c>
      <c r="W87" s="99">
        <f t="shared" si="7"/>
        <v>0.3161783849822668</v>
      </c>
    </row>
    <row r="88" spans="1:23">
      <c r="A88" s="101" t="s">
        <v>140</v>
      </c>
      <c r="B88" s="111">
        <f t="shared" ref="B88:K97" si="8">B113-B63-B38</f>
        <v>75065</v>
      </c>
      <c r="C88" s="111">
        <f t="shared" si="8"/>
        <v>88864</v>
      </c>
      <c r="D88" s="111">
        <f t="shared" si="8"/>
        <v>91784</v>
      </c>
      <c r="E88" s="111">
        <f t="shared" si="8"/>
        <v>100464</v>
      </c>
      <c r="F88" s="111">
        <f t="shared" si="8"/>
        <v>108316</v>
      </c>
      <c r="G88" s="111">
        <f t="shared" si="8"/>
        <v>117657</v>
      </c>
      <c r="H88" s="111">
        <f t="shared" si="8"/>
        <v>108660</v>
      </c>
      <c r="I88" s="111">
        <f t="shared" si="8"/>
        <v>114346</v>
      </c>
      <c r="J88" s="111">
        <f t="shared" si="8"/>
        <v>120235.93559000012</v>
      </c>
      <c r="K88" s="111">
        <f t="shared" si="8"/>
        <v>96814.319249999942</v>
      </c>
      <c r="M88" s="101" t="s">
        <v>140</v>
      </c>
      <c r="N88" s="99">
        <f t="shared" ref="N88:W109" si="9">B88/B113</f>
        <v>0.28955235395089585</v>
      </c>
      <c r="O88" s="99">
        <f t="shared" si="7"/>
        <v>0.30873672398039126</v>
      </c>
      <c r="P88" s="99">
        <f t="shared" si="7"/>
        <v>0.30465594099664423</v>
      </c>
      <c r="Q88" s="99">
        <f t="shared" si="7"/>
        <v>0.32642557754167073</v>
      </c>
      <c r="R88" s="99">
        <f t="shared" si="7"/>
        <v>0.33339386682836292</v>
      </c>
      <c r="S88" s="99">
        <f t="shared" si="7"/>
        <v>0.34778688863796253</v>
      </c>
      <c r="T88" s="99">
        <f t="shared" si="7"/>
        <v>0.31962771871819462</v>
      </c>
      <c r="U88" s="99">
        <f t="shared" si="7"/>
        <v>0.31663039204284282</v>
      </c>
      <c r="V88" s="99">
        <f t="shared" si="7"/>
        <v>0.31739775892573369</v>
      </c>
      <c r="W88" s="99">
        <f t="shared" si="7"/>
        <v>0.32691740313845935</v>
      </c>
    </row>
    <row r="89" spans="1:23">
      <c r="A89" s="101" t="s">
        <v>141</v>
      </c>
      <c r="B89" s="111">
        <f t="shared" si="8"/>
        <v>238538</v>
      </c>
      <c r="C89" s="111">
        <f t="shared" si="8"/>
        <v>251026</v>
      </c>
      <c r="D89" s="111">
        <f t="shared" si="8"/>
        <v>256895</v>
      </c>
      <c r="E89" s="111">
        <f t="shared" si="8"/>
        <v>267246</v>
      </c>
      <c r="F89" s="111">
        <f t="shared" si="8"/>
        <v>294672</v>
      </c>
      <c r="G89" s="111">
        <f t="shared" si="8"/>
        <v>306650</v>
      </c>
      <c r="H89" s="111">
        <f t="shared" si="8"/>
        <v>315126</v>
      </c>
      <c r="I89" s="111">
        <f t="shared" si="8"/>
        <v>333015.56000000006</v>
      </c>
      <c r="J89" s="111">
        <f t="shared" si="8"/>
        <v>319363</v>
      </c>
      <c r="K89" s="111">
        <f t="shared" si="8"/>
        <v>257833</v>
      </c>
      <c r="M89" s="101" t="s">
        <v>141</v>
      </c>
      <c r="N89" s="99">
        <f t="shared" si="9"/>
        <v>0.33454273120092226</v>
      </c>
      <c r="O89" s="99">
        <f t="shared" si="7"/>
        <v>0.32811154114105634</v>
      </c>
      <c r="P89" s="99">
        <f t="shared" si="7"/>
        <v>0.32069583237106064</v>
      </c>
      <c r="Q89" s="99">
        <f t="shared" si="7"/>
        <v>0.32022344681814752</v>
      </c>
      <c r="R89" s="99">
        <f t="shared" si="7"/>
        <v>0.33123430506127349</v>
      </c>
      <c r="S89" s="99">
        <f t="shared" si="7"/>
        <v>0.33344025748786232</v>
      </c>
      <c r="T89" s="99">
        <f t="shared" si="7"/>
        <v>0.33171088060867238</v>
      </c>
      <c r="U89" s="99">
        <f t="shared" si="7"/>
        <v>0.33624093095573709</v>
      </c>
      <c r="V89" s="99">
        <f t="shared" si="7"/>
        <v>0.3155205902519122</v>
      </c>
      <c r="W89" s="99">
        <f t="shared" si="7"/>
        <v>0.32439944086633005</v>
      </c>
    </row>
    <row r="90" spans="1:23">
      <c r="A90" s="101" t="s">
        <v>142</v>
      </c>
      <c r="B90" s="111">
        <f t="shared" si="8"/>
        <v>171498.14480000001</v>
      </c>
      <c r="C90" s="111">
        <f t="shared" si="8"/>
        <v>175413.79199999996</v>
      </c>
      <c r="D90" s="111">
        <f t="shared" si="8"/>
        <v>210956.42320000002</v>
      </c>
      <c r="E90" s="111">
        <f t="shared" si="8"/>
        <v>206765.49340000004</v>
      </c>
      <c r="F90" s="111">
        <f t="shared" si="8"/>
        <v>223900.08407000004</v>
      </c>
      <c r="G90" s="111">
        <f t="shared" si="8"/>
        <v>217350.06709999999</v>
      </c>
      <c r="H90" s="111">
        <f t="shared" si="8"/>
        <v>226350.18638000003</v>
      </c>
      <c r="I90" s="111">
        <f t="shared" si="8"/>
        <v>228329.55416000017</v>
      </c>
      <c r="J90" s="111">
        <f t="shared" si="8"/>
        <v>221846.5701700002</v>
      </c>
      <c r="K90" s="111">
        <f t="shared" si="8"/>
        <v>163263.5826299999</v>
      </c>
      <c r="M90" s="101" t="s">
        <v>142</v>
      </c>
      <c r="N90" s="99">
        <f t="shared" si="9"/>
        <v>0.35865097581969269</v>
      </c>
      <c r="O90" s="99">
        <f t="shared" si="7"/>
        <v>0.3349452117695273</v>
      </c>
      <c r="P90" s="99">
        <f t="shared" si="7"/>
        <v>0.36543046887619612</v>
      </c>
      <c r="Q90" s="99">
        <f t="shared" si="7"/>
        <v>0.35918750859654358</v>
      </c>
      <c r="R90" s="99">
        <f t="shared" si="7"/>
        <v>0.3656135272322113</v>
      </c>
      <c r="S90" s="99">
        <f t="shared" si="7"/>
        <v>0.34784286175919793</v>
      </c>
      <c r="T90" s="99">
        <f t="shared" si="7"/>
        <v>0.34819538745513473</v>
      </c>
      <c r="U90" s="99">
        <f t="shared" si="7"/>
        <v>0.34394064601624336</v>
      </c>
      <c r="V90" s="99">
        <f t="shared" si="7"/>
        <v>0.32331460149253094</v>
      </c>
      <c r="W90" s="99">
        <f t="shared" si="7"/>
        <v>0.31600289583406355</v>
      </c>
    </row>
    <row r="91" spans="1:23">
      <c r="A91" s="101" t="s">
        <v>143</v>
      </c>
      <c r="B91" s="111">
        <f t="shared" si="8"/>
        <v>174115</v>
      </c>
      <c r="C91" s="111">
        <f t="shared" si="8"/>
        <v>183148</v>
      </c>
      <c r="D91" s="111">
        <f t="shared" si="8"/>
        <v>185275</v>
      </c>
      <c r="E91" s="111">
        <f t="shared" si="8"/>
        <v>278847</v>
      </c>
      <c r="F91" s="111">
        <f t="shared" si="8"/>
        <v>203565</v>
      </c>
      <c r="G91" s="111">
        <f t="shared" si="8"/>
        <v>199510</v>
      </c>
      <c r="H91" s="111">
        <f t="shared" si="8"/>
        <v>216243</v>
      </c>
      <c r="I91" s="111">
        <f t="shared" si="8"/>
        <v>227310</v>
      </c>
      <c r="J91" s="111">
        <f t="shared" si="8"/>
        <v>234100</v>
      </c>
      <c r="K91" s="111">
        <f t="shared" si="8"/>
        <v>181036</v>
      </c>
      <c r="M91" s="101" t="s">
        <v>143</v>
      </c>
      <c r="N91" s="99">
        <f t="shared" si="9"/>
        <v>0.31084248731118524</v>
      </c>
      <c r="O91" s="99">
        <f t="shared" si="7"/>
        <v>0.29591307508987358</v>
      </c>
      <c r="P91" s="99">
        <f t="shared" si="7"/>
        <v>0.28243097190400623</v>
      </c>
      <c r="Q91" s="99">
        <f t="shared" si="7"/>
        <v>0.35764563137926875</v>
      </c>
      <c r="R91" s="99">
        <f t="shared" si="7"/>
        <v>0.27620197689327897</v>
      </c>
      <c r="S91" s="99">
        <f t="shared" si="7"/>
        <v>0.26103897463273201</v>
      </c>
      <c r="T91" s="99">
        <f t="shared" si="7"/>
        <v>0.2709462312508536</v>
      </c>
      <c r="U91" s="99">
        <f t="shared" si="7"/>
        <v>0.27226667305481028</v>
      </c>
      <c r="V91" s="99">
        <f t="shared" si="7"/>
        <v>0.2722890893610686</v>
      </c>
      <c r="W91" s="99">
        <f t="shared" si="7"/>
        <v>0.26925696879917427</v>
      </c>
    </row>
    <row r="92" spans="1:23">
      <c r="A92" s="101" t="s">
        <v>144</v>
      </c>
      <c r="B92" s="111">
        <f t="shared" si="8"/>
        <v>67353.566400000011</v>
      </c>
      <c r="C92" s="111">
        <f t="shared" si="8"/>
        <v>76362.032300000021</v>
      </c>
      <c r="D92" s="111">
        <f t="shared" si="8"/>
        <v>76363.539100000024</v>
      </c>
      <c r="E92" s="111">
        <f t="shared" si="8"/>
        <v>78143.076700000005</v>
      </c>
      <c r="F92" s="111">
        <f t="shared" si="8"/>
        <v>80981.046270000079</v>
      </c>
      <c r="G92" s="111">
        <f t="shared" si="8"/>
        <v>82613.066229999939</v>
      </c>
      <c r="H92" s="111">
        <f t="shared" si="8"/>
        <v>86876.051979999902</v>
      </c>
      <c r="I92" s="111">
        <f t="shared" si="8"/>
        <v>89339.042879999935</v>
      </c>
      <c r="J92" s="111">
        <f t="shared" si="8"/>
        <v>88931.93797999958</v>
      </c>
      <c r="K92" s="111">
        <f t="shared" si="8"/>
        <v>60559.065579999995</v>
      </c>
      <c r="M92" s="101" t="s">
        <v>144</v>
      </c>
      <c r="N92" s="99">
        <f t="shared" si="9"/>
        <v>0.30816379899610336</v>
      </c>
      <c r="O92" s="99">
        <f t="shared" si="7"/>
        <v>0.32317714848826112</v>
      </c>
      <c r="P92" s="99">
        <f t="shared" si="7"/>
        <v>0.31885287708634558</v>
      </c>
      <c r="Q92" s="99">
        <f t="shared" si="7"/>
        <v>0.32290212625665871</v>
      </c>
      <c r="R92" s="99">
        <f t="shared" si="7"/>
        <v>0.31961116034122838</v>
      </c>
      <c r="S92" s="99">
        <f t="shared" si="7"/>
        <v>0.31917528433284026</v>
      </c>
      <c r="T92" s="99">
        <f t="shared" si="7"/>
        <v>0.31901134308929935</v>
      </c>
      <c r="U92" s="99">
        <f t="shared" si="7"/>
        <v>0.31840944709666091</v>
      </c>
      <c r="V92" s="99">
        <f t="shared" si="7"/>
        <v>0.30649411955933525</v>
      </c>
      <c r="W92" s="99">
        <f t="shared" si="7"/>
        <v>0.27388454998010048</v>
      </c>
    </row>
    <row r="93" spans="1:23">
      <c r="A93" s="101" t="s">
        <v>145</v>
      </c>
      <c r="B93" s="111">
        <f t="shared" si="8"/>
        <v>49643</v>
      </c>
      <c r="C93" s="111">
        <f t="shared" si="8"/>
        <v>53700</v>
      </c>
      <c r="D93" s="111">
        <f t="shared" si="8"/>
        <v>57676</v>
      </c>
      <c r="E93" s="111">
        <f t="shared" si="8"/>
        <v>59227</v>
      </c>
      <c r="F93" s="111">
        <f t="shared" si="8"/>
        <v>61514</v>
      </c>
      <c r="G93" s="111">
        <f t="shared" si="8"/>
        <v>61966</v>
      </c>
      <c r="H93" s="111">
        <f t="shared" si="8"/>
        <v>63254</v>
      </c>
      <c r="I93" s="111">
        <f t="shared" si="8"/>
        <v>65701</v>
      </c>
      <c r="J93" s="111">
        <f t="shared" si="8"/>
        <v>65822</v>
      </c>
      <c r="K93" s="111">
        <f t="shared" si="8"/>
        <v>47951</v>
      </c>
      <c r="M93" s="101" t="s">
        <v>145</v>
      </c>
      <c r="N93" s="99">
        <f t="shared" si="9"/>
        <v>0.27946160168432432</v>
      </c>
      <c r="O93" s="99">
        <f t="shared" si="7"/>
        <v>0.27251966505962955</v>
      </c>
      <c r="P93" s="99">
        <f t="shared" si="7"/>
        <v>0.2767031279984648</v>
      </c>
      <c r="Q93" s="99">
        <f t="shared" si="7"/>
        <v>0.27726568388332062</v>
      </c>
      <c r="R93" s="99">
        <f t="shared" si="7"/>
        <v>0.28131230907128613</v>
      </c>
      <c r="S93" s="99">
        <f t="shared" si="7"/>
        <v>0.27617281859752019</v>
      </c>
      <c r="T93" s="99">
        <f t="shared" si="7"/>
        <v>0.27408431296932617</v>
      </c>
      <c r="U93" s="99">
        <f t="shared" si="7"/>
        <v>0.27044014801947797</v>
      </c>
      <c r="V93" s="99">
        <f t="shared" si="7"/>
        <v>0.26453661281247487</v>
      </c>
      <c r="W93" s="99">
        <f t="shared" si="7"/>
        <v>0.26225088053203827</v>
      </c>
    </row>
    <row r="94" spans="1:23">
      <c r="A94" s="101" t="s">
        <v>146</v>
      </c>
      <c r="B94" s="111">
        <f t="shared" si="8"/>
        <v>38788</v>
      </c>
      <c r="C94" s="111">
        <f t="shared" si="8"/>
        <v>39735</v>
      </c>
      <c r="D94" s="111">
        <f t="shared" si="8"/>
        <v>43506.919500000004</v>
      </c>
      <c r="E94" s="111">
        <f t="shared" si="8"/>
        <v>45100</v>
      </c>
      <c r="F94" s="111">
        <f t="shared" si="8"/>
        <v>49489</v>
      </c>
      <c r="G94" s="111">
        <f t="shared" si="8"/>
        <v>52809</v>
      </c>
      <c r="H94" s="111">
        <f t="shared" si="8"/>
        <v>54314</v>
      </c>
      <c r="I94" s="111">
        <f t="shared" si="8"/>
        <v>56404</v>
      </c>
      <c r="J94" s="111">
        <f t="shared" si="8"/>
        <v>57038</v>
      </c>
      <c r="K94" s="111">
        <f t="shared" si="8"/>
        <v>41556</v>
      </c>
      <c r="M94" s="101" t="s">
        <v>146</v>
      </c>
      <c r="N94" s="99">
        <f t="shared" si="9"/>
        <v>0.31622370781020709</v>
      </c>
      <c r="O94" s="99">
        <f t="shared" si="7"/>
        <v>0.30099308401445313</v>
      </c>
      <c r="P94" s="99">
        <f t="shared" si="7"/>
        <v>0.30971556576598536</v>
      </c>
      <c r="Q94" s="99">
        <f t="shared" si="7"/>
        <v>0.31115705481861022</v>
      </c>
      <c r="R94" s="99">
        <f t="shared" si="7"/>
        <v>0.32239760786434141</v>
      </c>
      <c r="S94" s="99">
        <f t="shared" si="7"/>
        <v>0.33827636568617403</v>
      </c>
      <c r="T94" s="99">
        <f t="shared" si="7"/>
        <v>0.33989586723071918</v>
      </c>
      <c r="U94" s="99">
        <f t="shared" si="7"/>
        <v>0.33160292777565475</v>
      </c>
      <c r="V94" s="99">
        <f t="shared" si="7"/>
        <v>0.32760502222783822</v>
      </c>
      <c r="W94" s="99">
        <f t="shared" si="7"/>
        <v>0.31075947473901466</v>
      </c>
    </row>
    <row r="95" spans="1:23">
      <c r="A95" s="101" t="s">
        <v>147</v>
      </c>
      <c r="B95" s="111">
        <f t="shared" si="8"/>
        <v>105728</v>
      </c>
      <c r="C95" s="111">
        <f t="shared" si="8"/>
        <v>112004</v>
      </c>
      <c r="D95" s="111">
        <f t="shared" si="8"/>
        <v>118866</v>
      </c>
      <c r="E95" s="111">
        <f t="shared" si="8"/>
        <v>121345</v>
      </c>
      <c r="F95" s="111">
        <f t="shared" si="8"/>
        <v>129519</v>
      </c>
      <c r="G95" s="111">
        <f t="shared" si="8"/>
        <v>139632</v>
      </c>
      <c r="H95" s="111">
        <f t="shared" si="8"/>
        <v>144948</v>
      </c>
      <c r="I95" s="111">
        <f t="shared" si="8"/>
        <v>143650</v>
      </c>
      <c r="J95" s="111">
        <f t="shared" si="8"/>
        <v>136450</v>
      </c>
      <c r="K95" s="111">
        <f t="shared" si="8"/>
        <v>105894</v>
      </c>
      <c r="M95" s="101" t="s">
        <v>147</v>
      </c>
      <c r="N95" s="99">
        <f t="shared" si="9"/>
        <v>0.39548436810329995</v>
      </c>
      <c r="O95" s="99">
        <f t="shared" si="7"/>
        <v>0.38881637413908021</v>
      </c>
      <c r="P95" s="99">
        <f t="shared" si="7"/>
        <v>0.39332252407266471</v>
      </c>
      <c r="Q95" s="99">
        <f t="shared" si="7"/>
        <v>0.40240958261757742</v>
      </c>
      <c r="R95" s="99">
        <f t="shared" si="7"/>
        <v>0.40502279678030656</v>
      </c>
      <c r="S95" s="99">
        <f t="shared" si="7"/>
        <v>0.4141195451660547</v>
      </c>
      <c r="T95" s="99">
        <f t="shared" si="7"/>
        <v>0.4134284084426697</v>
      </c>
      <c r="U95" s="99">
        <f t="shared" si="7"/>
        <v>0.40444737257021873</v>
      </c>
      <c r="V95" s="99">
        <f t="shared" si="7"/>
        <v>0.38402003827535741</v>
      </c>
      <c r="W95" s="99">
        <f t="shared" si="7"/>
        <v>0.38841653523089903</v>
      </c>
    </row>
    <row r="96" spans="1:23">
      <c r="A96" s="101" t="s">
        <v>148</v>
      </c>
      <c r="B96" s="111">
        <f t="shared" si="8"/>
        <v>64677.000000000015</v>
      </c>
      <c r="C96" s="111">
        <f t="shared" si="8"/>
        <v>68254</v>
      </c>
      <c r="D96" s="111">
        <f t="shared" si="8"/>
        <v>69953.430799999973</v>
      </c>
      <c r="E96" s="111">
        <f t="shared" si="8"/>
        <v>71867.880199999985</v>
      </c>
      <c r="F96" s="111">
        <f t="shared" si="8"/>
        <v>72494.394109999994</v>
      </c>
      <c r="G96" s="111">
        <f t="shared" si="8"/>
        <v>73893.974649999989</v>
      </c>
      <c r="H96" s="111">
        <f t="shared" si="8"/>
        <v>73856.935820000013</v>
      </c>
      <c r="I96" s="111">
        <f t="shared" si="8"/>
        <v>77915.71703</v>
      </c>
      <c r="J96" s="111">
        <f t="shared" si="8"/>
        <v>80593.285950000136</v>
      </c>
      <c r="K96" s="111">
        <f t="shared" si="8"/>
        <v>60653.167189999935</v>
      </c>
      <c r="M96" s="101" t="s">
        <v>148</v>
      </c>
      <c r="N96" s="99">
        <f t="shared" si="9"/>
        <v>0.32467393930534533</v>
      </c>
      <c r="O96" s="99">
        <f t="shared" si="7"/>
        <v>0.30880110754697349</v>
      </c>
      <c r="P96" s="99">
        <f t="shared" si="7"/>
        <v>0.316187425852826</v>
      </c>
      <c r="Q96" s="99">
        <f t="shared" si="7"/>
        <v>0.3178496963217684</v>
      </c>
      <c r="R96" s="99">
        <f t="shared" si="7"/>
        <v>0.30786580721389845</v>
      </c>
      <c r="S96" s="99">
        <f t="shared" si="7"/>
        <v>0.31097062799462072</v>
      </c>
      <c r="T96" s="99">
        <f t="shared" si="7"/>
        <v>0.30420797642022646</v>
      </c>
      <c r="U96" s="99">
        <f t="shared" si="7"/>
        <v>0.31089032602935129</v>
      </c>
      <c r="V96" s="99">
        <f t="shared" si="7"/>
        <v>0.30880488859974253</v>
      </c>
      <c r="W96" s="99">
        <f t="shared" si="7"/>
        <v>0.30677077862043639</v>
      </c>
    </row>
    <row r="97" spans="1:23">
      <c r="A97" s="101" t="s">
        <v>149</v>
      </c>
      <c r="B97" s="111">
        <f t="shared" si="8"/>
        <v>61941.327300000004</v>
      </c>
      <c r="C97" s="111">
        <f t="shared" si="8"/>
        <v>71250.166400000016</v>
      </c>
      <c r="D97" s="111">
        <f t="shared" si="8"/>
        <v>76180.285999999993</v>
      </c>
      <c r="E97" s="111">
        <f t="shared" si="8"/>
        <v>82526.25410000002</v>
      </c>
      <c r="F97" s="111">
        <f t="shared" si="8"/>
        <v>83167.227879999991</v>
      </c>
      <c r="G97" s="111">
        <f t="shared" si="8"/>
        <v>81890.801479999966</v>
      </c>
      <c r="H97" s="111">
        <f t="shared" si="8"/>
        <v>84502.127279999986</v>
      </c>
      <c r="I97" s="111">
        <f t="shared" si="8"/>
        <v>86330.613189999858</v>
      </c>
      <c r="J97" s="111">
        <f t="shared" si="8"/>
        <v>92039.093510000152</v>
      </c>
      <c r="K97" s="111">
        <f t="shared" si="8"/>
        <v>70254.171103699919</v>
      </c>
      <c r="M97" s="101" t="s">
        <v>149</v>
      </c>
      <c r="N97" s="99">
        <f t="shared" si="9"/>
        <v>0.30154056401777646</v>
      </c>
      <c r="O97" s="99">
        <f t="shared" si="7"/>
        <v>0.31235798332217612</v>
      </c>
      <c r="P97" s="99">
        <f t="shared" si="7"/>
        <v>0.30480987610571753</v>
      </c>
      <c r="Q97" s="99">
        <f t="shared" si="7"/>
        <v>0.31624393226594383</v>
      </c>
      <c r="R97" s="99">
        <f t="shared" si="7"/>
        <v>0.3062268778086048</v>
      </c>
      <c r="S97" s="99">
        <f t="shared" si="7"/>
        <v>0.28940566672121948</v>
      </c>
      <c r="T97" s="99">
        <f t="shared" si="7"/>
        <v>0.28703768227373411</v>
      </c>
      <c r="U97" s="99">
        <f t="shared" si="7"/>
        <v>0.28186394723731784</v>
      </c>
      <c r="V97" s="99">
        <f t="shared" si="7"/>
        <v>0.28481043721577443</v>
      </c>
      <c r="W97" s="99">
        <f t="shared" si="7"/>
        <v>0.27892843148056295</v>
      </c>
    </row>
    <row r="98" spans="1:23">
      <c r="A98" s="101" t="s">
        <v>150</v>
      </c>
      <c r="B98" s="111">
        <f>B123-B73-B48</f>
        <v>91743.13</v>
      </c>
      <c r="C98" s="111">
        <f>C123-C73-C48</f>
        <v>96682.25999999998</v>
      </c>
      <c r="D98" s="111"/>
      <c r="E98" s="111"/>
      <c r="F98" s="111"/>
      <c r="G98" s="111"/>
      <c r="H98" s="111"/>
      <c r="I98" s="111"/>
      <c r="J98" s="111"/>
      <c r="K98" s="111">
        <f>K123-K73-K48</f>
        <v>0</v>
      </c>
      <c r="M98" s="101" t="s">
        <v>150</v>
      </c>
      <c r="N98" s="99">
        <f t="shared" si="9"/>
        <v>0.33129374713955628</v>
      </c>
      <c r="O98" s="99">
        <f t="shared" si="7"/>
        <v>0.33470477845332613</v>
      </c>
      <c r="P98" s="99"/>
      <c r="Q98" s="99"/>
      <c r="R98" s="99"/>
      <c r="S98" s="99"/>
      <c r="T98" s="99"/>
      <c r="U98" s="99"/>
      <c r="V98" s="99"/>
      <c r="W98" s="99"/>
    </row>
    <row r="99" spans="1:23">
      <c r="A99" s="101" t="s">
        <v>151</v>
      </c>
      <c r="B99" s="111">
        <f t="shared" ref="B99:K100" si="10">B124-B74-B49</f>
        <v>20187</v>
      </c>
      <c r="C99" s="111">
        <f t="shared" si="10"/>
        <v>21457</v>
      </c>
      <c r="D99" s="111">
        <f t="shared" si="10"/>
        <v>20848</v>
      </c>
      <c r="E99" s="111">
        <f t="shared" si="10"/>
        <v>22054</v>
      </c>
      <c r="F99" s="111">
        <f t="shared" si="10"/>
        <v>22194</v>
      </c>
      <c r="G99" s="111">
        <f t="shared" si="10"/>
        <v>23105</v>
      </c>
      <c r="H99" s="111">
        <f t="shared" si="10"/>
        <v>23853</v>
      </c>
      <c r="I99" s="111">
        <f t="shared" si="10"/>
        <v>24680</v>
      </c>
      <c r="J99" s="111">
        <f t="shared" si="10"/>
        <v>24968</v>
      </c>
      <c r="K99" s="111">
        <f t="shared" si="10"/>
        <v>18183</v>
      </c>
      <c r="M99" s="101" t="s">
        <v>151</v>
      </c>
      <c r="N99" s="99">
        <f t="shared" si="9"/>
        <v>0.27849515768562205</v>
      </c>
      <c r="O99" s="99">
        <f t="shared" si="7"/>
        <v>0.27377003164233948</v>
      </c>
      <c r="P99" s="99">
        <f t="shared" si="7"/>
        <v>0.26004091203911589</v>
      </c>
      <c r="Q99" s="99">
        <f t="shared" si="7"/>
        <v>0.26073180824023173</v>
      </c>
      <c r="R99" s="99">
        <f t="shared" si="7"/>
        <v>0.25443664878250105</v>
      </c>
      <c r="S99" s="99">
        <f t="shared" si="7"/>
        <v>0.26116492782782669</v>
      </c>
      <c r="T99" s="99">
        <f t="shared" si="7"/>
        <v>0.25450258204942172</v>
      </c>
      <c r="U99" s="99">
        <f t="shared" si="7"/>
        <v>0.25406891155972372</v>
      </c>
      <c r="V99" s="99">
        <f t="shared" si="7"/>
        <v>0.25970189617332878</v>
      </c>
      <c r="W99" s="99">
        <f t="shared" si="7"/>
        <v>0.25170614211160175</v>
      </c>
    </row>
    <row r="100" spans="1:23">
      <c r="A100" s="101" t="s">
        <v>152</v>
      </c>
      <c r="B100" s="108">
        <f>B98+B101</f>
        <v>131761.34</v>
      </c>
      <c r="C100" s="108">
        <f>C98+C101</f>
        <v>140809.64899999998</v>
      </c>
      <c r="D100" s="111">
        <f t="shared" si="10"/>
        <v>140618.37590000004</v>
      </c>
      <c r="E100" s="111">
        <f t="shared" si="10"/>
        <v>144558.10810000001</v>
      </c>
      <c r="F100" s="111">
        <f t="shared" si="10"/>
        <v>148315.81610000005</v>
      </c>
      <c r="G100" s="111">
        <f t="shared" si="10"/>
        <v>145094.25466000004</v>
      </c>
      <c r="H100" s="111">
        <f t="shared" si="10"/>
        <v>150861.05285000004</v>
      </c>
      <c r="I100" s="111">
        <f t="shared" si="10"/>
        <v>154745.2223599999</v>
      </c>
      <c r="J100" s="111">
        <f t="shared" si="10"/>
        <v>162220.21036000026</v>
      </c>
      <c r="K100" s="111">
        <f t="shared" si="10"/>
        <v>117069.5985299999</v>
      </c>
      <c r="M100" s="101" t="s">
        <v>152</v>
      </c>
      <c r="N100" s="109">
        <f t="shared" si="9"/>
        <v>0.32959151461967517</v>
      </c>
      <c r="O100" s="109">
        <f t="shared" si="7"/>
        <v>0.32994972449013332</v>
      </c>
      <c r="P100" s="99">
        <f t="shared" si="7"/>
        <v>0.3125770758157872</v>
      </c>
      <c r="Q100" s="99">
        <f t="shared" si="7"/>
        <v>0.31636026945735468</v>
      </c>
      <c r="R100" s="99">
        <f t="shared" si="7"/>
        <v>0.30718018256550705</v>
      </c>
      <c r="S100" s="99">
        <f t="shared" si="7"/>
        <v>0.30079276411115219</v>
      </c>
      <c r="T100" s="99">
        <f t="shared" si="7"/>
        <v>0.30199152018693831</v>
      </c>
      <c r="U100" s="99">
        <f t="shared" si="7"/>
        <v>0.29488259003499417</v>
      </c>
      <c r="V100" s="99">
        <f t="shared" si="7"/>
        <v>0.2980349026638956</v>
      </c>
      <c r="W100" s="99">
        <f t="shared" si="7"/>
        <v>0.28590318335831938</v>
      </c>
    </row>
    <row r="101" spans="1:23">
      <c r="A101" s="101" t="s">
        <v>153</v>
      </c>
      <c r="B101" s="111">
        <f>B126-B76-B51</f>
        <v>40018.209999999992</v>
      </c>
      <c r="C101" s="111">
        <f>C126-C76-C51</f>
        <v>44127.38900000001</v>
      </c>
      <c r="D101" s="111"/>
      <c r="E101" s="111"/>
      <c r="F101" s="111"/>
      <c r="G101" s="111"/>
      <c r="H101" s="111"/>
      <c r="I101" s="111"/>
      <c r="J101" s="111"/>
      <c r="K101" s="111">
        <f>K126-K76-K51</f>
        <v>0</v>
      </c>
      <c r="M101" s="101" t="s">
        <v>153</v>
      </c>
      <c r="N101" s="99">
        <f t="shared" si="9"/>
        <v>0.32575433838186413</v>
      </c>
      <c r="O101" s="99">
        <f t="shared" si="7"/>
        <v>0.31998952889961807</v>
      </c>
      <c r="P101" s="99"/>
      <c r="Q101" s="99"/>
      <c r="R101" s="99"/>
      <c r="S101" s="99"/>
      <c r="T101" s="99"/>
      <c r="U101" s="99"/>
      <c r="V101" s="99"/>
      <c r="W101" s="99"/>
    </row>
    <row r="102" spans="1:23">
      <c r="A102" s="101" t="s">
        <v>154</v>
      </c>
      <c r="B102" s="111">
        <f t="shared" ref="B102:K109" si="11">B127-B77-B52</f>
        <v>22339.602999999996</v>
      </c>
      <c r="C102" s="111">
        <f t="shared" si="11"/>
        <v>24691.082999999991</v>
      </c>
      <c r="D102" s="111">
        <f t="shared" si="11"/>
        <v>24512.342000000004</v>
      </c>
      <c r="E102" s="111">
        <f t="shared" si="11"/>
        <v>26296.392999999996</v>
      </c>
      <c r="F102" s="111">
        <f t="shared" si="11"/>
        <v>25344</v>
      </c>
      <c r="G102" s="111">
        <f t="shared" si="11"/>
        <v>28076</v>
      </c>
      <c r="H102" s="111">
        <f t="shared" si="11"/>
        <v>27427</v>
      </c>
      <c r="I102" s="111">
        <f t="shared" si="11"/>
        <v>29141</v>
      </c>
      <c r="J102" s="111">
        <f t="shared" si="11"/>
        <v>28448.698000000011</v>
      </c>
      <c r="K102" s="111">
        <f t="shared" si="11"/>
        <v>21805</v>
      </c>
      <c r="M102" s="101" t="s">
        <v>154</v>
      </c>
      <c r="N102" s="99">
        <f t="shared" si="9"/>
        <v>0.33668197946328515</v>
      </c>
      <c r="O102" s="99">
        <f t="shared" si="7"/>
        <v>0.31711390202201001</v>
      </c>
      <c r="P102" s="99">
        <f t="shared" si="7"/>
        <v>0.29801097108095059</v>
      </c>
      <c r="Q102" s="99">
        <f t="shared" si="7"/>
        <v>0.30949207761082836</v>
      </c>
      <c r="R102" s="99">
        <f t="shared" si="7"/>
        <v>0.29281819022090766</v>
      </c>
      <c r="S102" s="99">
        <f t="shared" si="7"/>
        <v>0.30799609464988975</v>
      </c>
      <c r="T102" s="99">
        <f t="shared" si="7"/>
        <v>0.29922866276088544</v>
      </c>
      <c r="U102" s="99">
        <f t="shared" si="7"/>
        <v>0.30305961146470317</v>
      </c>
      <c r="V102" s="99">
        <f t="shared" si="7"/>
        <v>0.29063826624551997</v>
      </c>
      <c r="W102" s="99">
        <f t="shared" si="7"/>
        <v>0.28911045995147239</v>
      </c>
    </row>
    <row r="103" spans="1:23">
      <c r="A103" s="101" t="s">
        <v>155</v>
      </c>
      <c r="B103" s="111">
        <f t="shared" si="11"/>
        <v>49059</v>
      </c>
      <c r="C103" s="111">
        <f t="shared" si="11"/>
        <v>52329</v>
      </c>
      <c r="D103" s="111">
        <f t="shared" si="11"/>
        <v>49832</v>
      </c>
      <c r="E103" s="111">
        <f t="shared" si="11"/>
        <v>48566</v>
      </c>
      <c r="F103" s="111">
        <f t="shared" si="11"/>
        <v>49661</v>
      </c>
      <c r="G103" s="111">
        <f t="shared" si="11"/>
        <v>50791</v>
      </c>
      <c r="H103" s="111">
        <f t="shared" si="11"/>
        <v>57771</v>
      </c>
      <c r="I103" s="111">
        <f t="shared" si="11"/>
        <v>60720</v>
      </c>
      <c r="J103" s="111">
        <f t="shared" si="11"/>
        <v>63973</v>
      </c>
      <c r="K103" s="111">
        <f t="shared" si="11"/>
        <v>47965</v>
      </c>
      <c r="M103" s="101" t="s">
        <v>155</v>
      </c>
      <c r="N103" s="99">
        <f t="shared" si="9"/>
        <v>0.31178066869609983</v>
      </c>
      <c r="O103" s="99">
        <f t="shared" si="9"/>
        <v>0.31404497416416111</v>
      </c>
      <c r="P103" s="99">
        <f t="shared" si="9"/>
        <v>0.28800295909285312</v>
      </c>
      <c r="Q103" s="99">
        <f t="shared" si="9"/>
        <v>0.28015505843534039</v>
      </c>
      <c r="R103" s="99">
        <f t="shared" si="9"/>
        <v>0.28038686510535471</v>
      </c>
      <c r="S103" s="99">
        <f t="shared" si="9"/>
        <v>0.27867791086213423</v>
      </c>
      <c r="T103" s="99">
        <f t="shared" si="9"/>
        <v>0.3076148943307615</v>
      </c>
      <c r="U103" s="99">
        <f t="shared" si="9"/>
        <v>0.31023119172308083</v>
      </c>
      <c r="V103" s="99">
        <f t="shared" si="9"/>
        <v>0.31349939478881317</v>
      </c>
      <c r="W103" s="99">
        <f t="shared" si="9"/>
        <v>0.30789228744744357</v>
      </c>
    </row>
    <row r="104" spans="1:23">
      <c r="A104" s="101" t="s">
        <v>156</v>
      </c>
      <c r="B104" s="111">
        <f t="shared" si="11"/>
        <v>181815.8</v>
      </c>
      <c r="C104" s="111">
        <f t="shared" si="11"/>
        <v>212074</v>
      </c>
      <c r="D104" s="111">
        <f t="shared" si="11"/>
        <v>216880</v>
      </c>
      <c r="E104" s="111">
        <f t="shared" si="11"/>
        <v>309004</v>
      </c>
      <c r="F104" s="111">
        <f t="shared" si="11"/>
        <v>240221</v>
      </c>
      <c r="G104" s="111">
        <f t="shared" si="11"/>
        <v>245763</v>
      </c>
      <c r="H104" s="111">
        <f t="shared" si="11"/>
        <v>258261.3</v>
      </c>
      <c r="I104" s="111">
        <f t="shared" si="11"/>
        <v>274469.16079999995</v>
      </c>
      <c r="J104" s="111">
        <f t="shared" si="11"/>
        <v>262159.53088999976</v>
      </c>
      <c r="K104" s="111">
        <f t="shared" si="11"/>
        <v>205891.76845000003</v>
      </c>
      <c r="M104" s="101" t="s">
        <v>156</v>
      </c>
      <c r="N104" s="99">
        <f t="shared" si="9"/>
        <v>0.33040424770476728</v>
      </c>
      <c r="O104" s="99">
        <f t="shared" si="9"/>
        <v>0.33303862371129972</v>
      </c>
      <c r="P104" s="99">
        <f t="shared" si="9"/>
        <v>0.32266895189126138</v>
      </c>
      <c r="Q104" s="99">
        <f t="shared" si="9"/>
        <v>0.39649599595553658</v>
      </c>
      <c r="R104" s="99">
        <f t="shared" si="9"/>
        <v>0.32775435580478351</v>
      </c>
      <c r="S104" s="99">
        <f t="shared" si="9"/>
        <v>0.32194985838885554</v>
      </c>
      <c r="T104" s="99">
        <f t="shared" si="9"/>
        <v>0.32617962927155053</v>
      </c>
      <c r="U104" s="99">
        <f t="shared" si="9"/>
        <v>0.33381046118297175</v>
      </c>
      <c r="V104" s="99">
        <f t="shared" si="9"/>
        <v>0.31292607133287881</v>
      </c>
      <c r="W104" s="99">
        <f t="shared" si="9"/>
        <v>0.31042505639878343</v>
      </c>
    </row>
    <row r="105" spans="1:23">
      <c r="A105" s="101" t="s">
        <v>157</v>
      </c>
      <c r="B105" s="111">
        <f t="shared" si="11"/>
        <v>17982</v>
      </c>
      <c r="C105" s="111">
        <f t="shared" si="11"/>
        <v>21235</v>
      </c>
      <c r="D105" s="111">
        <f t="shared" si="11"/>
        <v>20055</v>
      </c>
      <c r="E105" s="111">
        <f t="shared" si="11"/>
        <v>20381</v>
      </c>
      <c r="F105" s="111">
        <f t="shared" si="11"/>
        <v>21795</v>
      </c>
      <c r="G105" s="111">
        <f t="shared" si="11"/>
        <v>19457</v>
      </c>
      <c r="H105" s="111">
        <f t="shared" si="11"/>
        <v>19387</v>
      </c>
      <c r="I105" s="111">
        <f t="shared" si="11"/>
        <v>20412.900000000009</v>
      </c>
      <c r="J105" s="111">
        <f t="shared" si="11"/>
        <v>21800.35005999999</v>
      </c>
      <c r="K105" s="111">
        <f t="shared" si="11"/>
        <v>15003.923059999997</v>
      </c>
      <c r="M105" s="101" t="s">
        <v>157</v>
      </c>
      <c r="N105" s="99">
        <f t="shared" si="9"/>
        <v>0.33844966638747986</v>
      </c>
      <c r="O105" s="99">
        <f t="shared" si="9"/>
        <v>0.3573892993587694</v>
      </c>
      <c r="P105" s="99">
        <f t="shared" si="9"/>
        <v>0.3456090163369408</v>
      </c>
      <c r="Q105" s="99">
        <f t="shared" si="9"/>
        <v>0.34191145632370951</v>
      </c>
      <c r="R105" s="99">
        <f t="shared" si="9"/>
        <v>0.35394709063449015</v>
      </c>
      <c r="S105" s="99">
        <f t="shared" si="9"/>
        <v>0.31873730423956492</v>
      </c>
      <c r="T105" s="99">
        <f t="shared" si="9"/>
        <v>0.30728630074020064</v>
      </c>
      <c r="U105" s="99">
        <f t="shared" si="9"/>
        <v>0.31521332942139324</v>
      </c>
      <c r="V105" s="99">
        <f t="shared" si="9"/>
        <v>0.31628575621628308</v>
      </c>
      <c r="W105" s="99">
        <f t="shared" si="9"/>
        <v>0.29291118879190114</v>
      </c>
    </row>
    <row r="106" spans="1:23">
      <c r="A106" s="101" t="s">
        <v>158</v>
      </c>
      <c r="B106" s="111">
        <f t="shared" si="11"/>
        <v>154013</v>
      </c>
      <c r="C106" s="111">
        <f t="shared" si="11"/>
        <v>168078</v>
      </c>
      <c r="D106" s="111">
        <f t="shared" si="11"/>
        <v>171718</v>
      </c>
      <c r="E106" s="111">
        <f t="shared" si="11"/>
        <v>176214</v>
      </c>
      <c r="F106" s="111">
        <f t="shared" si="11"/>
        <v>183471</v>
      </c>
      <c r="G106" s="111">
        <f t="shared" si="11"/>
        <v>189640</v>
      </c>
      <c r="H106" s="111">
        <f t="shared" si="11"/>
        <v>201654</v>
      </c>
      <c r="I106" s="111">
        <f t="shared" si="11"/>
        <v>219819</v>
      </c>
      <c r="J106" s="111">
        <f t="shared" si="11"/>
        <v>220430</v>
      </c>
      <c r="K106" s="111">
        <f t="shared" si="11"/>
        <v>174339</v>
      </c>
      <c r="M106" s="101" t="s">
        <v>158</v>
      </c>
      <c r="N106" s="99">
        <f t="shared" si="9"/>
        <v>0.27266997501916496</v>
      </c>
      <c r="O106" s="99">
        <f t="shared" si="9"/>
        <v>0.26774330235536625</v>
      </c>
      <c r="P106" s="99">
        <f t="shared" si="9"/>
        <v>0.26520441147626306</v>
      </c>
      <c r="Q106" s="99">
        <f t="shared" si="9"/>
        <v>0.26775319432140898</v>
      </c>
      <c r="R106" s="99">
        <f t="shared" si="9"/>
        <v>0.26012780177822264</v>
      </c>
      <c r="S106" s="99">
        <f t="shared" si="9"/>
        <v>0.25807645671530888</v>
      </c>
      <c r="T106" s="99">
        <f t="shared" si="9"/>
        <v>0.25946083653712537</v>
      </c>
      <c r="U106" s="99">
        <f t="shared" si="9"/>
        <v>0.26008850290474106</v>
      </c>
      <c r="V106" s="99">
        <f t="shared" si="9"/>
        <v>0.25719889713560962</v>
      </c>
      <c r="W106" s="99">
        <f t="shared" si="9"/>
        <v>0.26120980658616871</v>
      </c>
    </row>
    <row r="107" spans="1:23">
      <c r="A107" s="101" t="s">
        <v>159</v>
      </c>
      <c r="B107" s="111">
        <f t="shared" si="11"/>
        <v>22879</v>
      </c>
      <c r="C107" s="111">
        <f t="shared" si="11"/>
        <v>23909</v>
      </c>
      <c r="D107" s="111">
        <f t="shared" si="11"/>
        <v>25424</v>
      </c>
      <c r="E107" s="111">
        <f t="shared" si="11"/>
        <v>24560</v>
      </c>
      <c r="F107" s="111">
        <f t="shared" si="11"/>
        <v>25512</v>
      </c>
      <c r="G107" s="111">
        <f t="shared" si="11"/>
        <v>26353.428000000022</v>
      </c>
      <c r="H107" s="111">
        <f t="shared" si="11"/>
        <v>26278</v>
      </c>
      <c r="I107" s="111">
        <f t="shared" si="11"/>
        <v>26745</v>
      </c>
      <c r="J107" s="111">
        <f t="shared" si="11"/>
        <v>26012</v>
      </c>
      <c r="K107" s="111">
        <f t="shared" si="11"/>
        <v>19535.042780000003</v>
      </c>
      <c r="M107" s="101" t="s">
        <v>159</v>
      </c>
      <c r="N107" s="99">
        <f t="shared" si="9"/>
        <v>0.29282121510757297</v>
      </c>
      <c r="O107" s="99">
        <f t="shared" si="9"/>
        <v>0.28423843264063914</v>
      </c>
      <c r="P107" s="99">
        <f t="shared" si="9"/>
        <v>0.28777379711820528</v>
      </c>
      <c r="Q107" s="99">
        <f t="shared" si="9"/>
        <v>0.27219630052422172</v>
      </c>
      <c r="R107" s="99">
        <f t="shared" si="9"/>
        <v>0.27970617256879726</v>
      </c>
      <c r="S107" s="99">
        <f t="shared" si="9"/>
        <v>0.28737131065687432</v>
      </c>
      <c r="T107" s="99">
        <f t="shared" si="9"/>
        <v>0.29677900252981571</v>
      </c>
      <c r="U107" s="99">
        <f t="shared" si="9"/>
        <v>0.29704454835234406</v>
      </c>
      <c r="V107" s="99">
        <f t="shared" si="9"/>
        <v>0.29346661100894661</v>
      </c>
      <c r="W107" s="99">
        <f t="shared" si="9"/>
        <v>0.29034582676224974</v>
      </c>
    </row>
    <row r="108" spans="1:23">
      <c r="A108" s="102" t="s">
        <v>160</v>
      </c>
      <c r="B108" s="112">
        <f t="shared" si="11"/>
        <v>33157</v>
      </c>
      <c r="C108" s="112">
        <f t="shared" si="11"/>
        <v>35896</v>
      </c>
      <c r="D108" s="112">
        <f t="shared" si="11"/>
        <v>36489</v>
      </c>
      <c r="E108" s="112">
        <f t="shared" si="11"/>
        <v>37057</v>
      </c>
      <c r="F108" s="112">
        <f t="shared" si="11"/>
        <v>36656</v>
      </c>
      <c r="G108" s="112">
        <f t="shared" si="11"/>
        <v>35897</v>
      </c>
      <c r="H108" s="112">
        <f t="shared" si="11"/>
        <v>36376</v>
      </c>
      <c r="I108" s="112">
        <f t="shared" si="11"/>
        <v>35292</v>
      </c>
      <c r="J108" s="112">
        <f t="shared" si="11"/>
        <v>34651</v>
      </c>
      <c r="K108" s="112">
        <f t="shared" si="11"/>
        <v>25913</v>
      </c>
      <c r="M108" s="102" t="s">
        <v>160</v>
      </c>
      <c r="N108" s="103">
        <f t="shared" si="9"/>
        <v>0.33215126471324818</v>
      </c>
      <c r="O108" s="103">
        <f t="shared" si="9"/>
        <v>0.33075944934854323</v>
      </c>
      <c r="P108" s="103">
        <f t="shared" si="9"/>
        <v>0.33301694791505054</v>
      </c>
      <c r="Q108" s="103">
        <f t="shared" si="9"/>
        <v>0.33330635006296094</v>
      </c>
      <c r="R108" s="103">
        <f t="shared" si="9"/>
        <v>0.32202689999912149</v>
      </c>
      <c r="S108" s="103">
        <f t="shared" si="9"/>
        <v>0.30922231410653989</v>
      </c>
      <c r="T108" s="103">
        <f t="shared" si="9"/>
        <v>0.30809625043407557</v>
      </c>
      <c r="U108" s="103">
        <f t="shared" si="9"/>
        <v>0.29607134168337512</v>
      </c>
      <c r="V108" s="103">
        <f t="shared" si="9"/>
        <v>0.28585688594103187</v>
      </c>
      <c r="W108" s="103">
        <f t="shared" si="9"/>
        <v>0.28060467584220389</v>
      </c>
    </row>
    <row r="109" spans="1:23">
      <c r="A109" s="105" t="s">
        <v>161</v>
      </c>
      <c r="B109" s="111">
        <f t="shared" si="11"/>
        <v>2056163.5871000006</v>
      </c>
      <c r="C109" s="111">
        <f t="shared" si="11"/>
        <v>2224259.0907000005</v>
      </c>
      <c r="D109" s="111">
        <f t="shared" si="11"/>
        <v>2224313.5834999997</v>
      </c>
      <c r="E109" s="111">
        <f t="shared" si="11"/>
        <v>2550554.5494999997</v>
      </c>
      <c r="F109" s="111">
        <f t="shared" si="11"/>
        <v>2462965.27147</v>
      </c>
      <c r="G109" s="111">
        <f t="shared" si="11"/>
        <v>2507442.6833700007</v>
      </c>
      <c r="H109" s="111">
        <f t="shared" si="11"/>
        <v>2591233.8823100002</v>
      </c>
      <c r="I109" s="111">
        <f t="shared" si="11"/>
        <v>2694004.3694199994</v>
      </c>
      <c r="J109" s="111">
        <f t="shared" si="11"/>
        <v>2700697.5005100006</v>
      </c>
      <c r="K109" s="111">
        <f t="shared" si="11"/>
        <v>2071064.8035736997</v>
      </c>
      <c r="M109" s="105" t="s">
        <v>161</v>
      </c>
      <c r="N109" s="99">
        <f t="shared" si="9"/>
        <v>0.32798194001900577</v>
      </c>
      <c r="O109" s="99">
        <f t="shared" si="9"/>
        <v>0.32391657292489218</v>
      </c>
      <c r="P109" s="99">
        <f t="shared" si="9"/>
        <v>0.30861427289052945</v>
      </c>
      <c r="Q109" s="99">
        <f t="shared" si="9"/>
        <v>0.33631223936269639</v>
      </c>
      <c r="R109" s="99">
        <f t="shared" si="9"/>
        <v>0.31618078048545822</v>
      </c>
      <c r="S109" s="99">
        <f t="shared" si="9"/>
        <v>0.31281344122338839</v>
      </c>
      <c r="T109" s="99">
        <f t="shared" si="9"/>
        <v>0.31212061766407312</v>
      </c>
      <c r="U109" s="99">
        <f t="shared" si="9"/>
        <v>0.31122881289724097</v>
      </c>
      <c r="V109" s="99">
        <f t="shared" si="9"/>
        <v>0.3032206288134926</v>
      </c>
      <c r="W109" s="99">
        <f t="shared" si="9"/>
        <v>0.30154372929534107</v>
      </c>
    </row>
    <row r="111" spans="1:23">
      <c r="A111" s="95" t="s">
        <v>174</v>
      </c>
      <c r="K111" s="14" t="s">
        <v>165</v>
      </c>
    </row>
    <row r="112" spans="1:23">
      <c r="A112" s="101" t="s">
        <v>139</v>
      </c>
      <c r="B112" s="107">
        <v>1025562.3365999999</v>
      </c>
      <c r="C112" s="107">
        <v>1102462.0490000001</v>
      </c>
      <c r="D112" s="107">
        <v>1149125.777</v>
      </c>
      <c r="E112" s="107">
        <v>1198746.767</v>
      </c>
      <c r="F112" s="107">
        <v>1234849.3060400002</v>
      </c>
      <c r="G112" s="107">
        <v>1260321.855</v>
      </c>
      <c r="H112" s="107">
        <v>1301789.2239999999</v>
      </c>
      <c r="I112" s="107">
        <v>1344856.6029999999</v>
      </c>
      <c r="J112" s="107">
        <v>1401277.0509999997</v>
      </c>
      <c r="K112" s="107">
        <v>1073903.7870000005</v>
      </c>
      <c r="N112" s="33"/>
      <c r="O112" s="33"/>
      <c r="P112" s="33"/>
      <c r="Q112" s="33"/>
      <c r="R112" s="33"/>
      <c r="S112" s="33"/>
      <c r="T112" s="33"/>
      <c r="U112" s="33"/>
      <c r="V112" s="33"/>
    </row>
    <row r="113" spans="1:22">
      <c r="A113" s="101" t="s">
        <v>140</v>
      </c>
      <c r="B113" s="107">
        <v>259245</v>
      </c>
      <c r="C113" s="107">
        <v>287831</v>
      </c>
      <c r="D113" s="107">
        <v>301271</v>
      </c>
      <c r="E113" s="107">
        <v>307770</v>
      </c>
      <c r="F113" s="107">
        <v>324889</v>
      </c>
      <c r="G113" s="107">
        <v>338302</v>
      </c>
      <c r="H113" s="107">
        <v>339958</v>
      </c>
      <c r="I113" s="107">
        <v>361134</v>
      </c>
      <c r="J113" s="107">
        <v>378817.84672000009</v>
      </c>
      <c r="K113" s="107">
        <v>296143.05729999993</v>
      </c>
      <c r="N113" s="33"/>
      <c r="O113" s="33"/>
      <c r="P113" s="33"/>
      <c r="Q113" s="33"/>
      <c r="R113" s="33"/>
      <c r="S113" s="33"/>
      <c r="T113" s="33"/>
      <c r="U113" s="33"/>
      <c r="V113" s="33"/>
    </row>
    <row r="114" spans="1:22">
      <c r="A114" s="101" t="s">
        <v>141</v>
      </c>
      <c r="B114" s="107">
        <v>713027</v>
      </c>
      <c r="C114" s="107">
        <v>765063</v>
      </c>
      <c r="D114" s="107">
        <v>801055</v>
      </c>
      <c r="E114" s="107">
        <v>834561</v>
      </c>
      <c r="F114" s="107">
        <v>889618</v>
      </c>
      <c r="G114" s="107">
        <v>919655</v>
      </c>
      <c r="H114" s="107">
        <v>950002</v>
      </c>
      <c r="I114" s="107">
        <v>990407.56</v>
      </c>
      <c r="J114" s="107">
        <v>1012178</v>
      </c>
      <c r="K114" s="107">
        <v>794801</v>
      </c>
      <c r="N114" s="33"/>
      <c r="O114" s="33"/>
      <c r="P114" s="33"/>
      <c r="Q114" s="33"/>
      <c r="R114" s="33"/>
      <c r="S114" s="33"/>
      <c r="T114" s="33"/>
      <c r="U114" s="33"/>
      <c r="V114" s="33"/>
    </row>
    <row r="115" spans="1:22">
      <c r="A115" s="101" t="s">
        <v>142</v>
      </c>
      <c r="B115" s="107">
        <v>478175.59790000005</v>
      </c>
      <c r="C115" s="107">
        <v>523708.91070000001</v>
      </c>
      <c r="D115" s="107">
        <v>577281.97609999997</v>
      </c>
      <c r="E115" s="107">
        <v>575647.78410000005</v>
      </c>
      <c r="F115" s="107">
        <v>612395.51436999999</v>
      </c>
      <c r="G115" s="107">
        <v>624851.30785999994</v>
      </c>
      <c r="H115" s="107">
        <v>650066.58484000002</v>
      </c>
      <c r="I115" s="107">
        <v>663863.24735000008</v>
      </c>
      <c r="J115" s="107">
        <v>686163.16475000023</v>
      </c>
      <c r="K115" s="107">
        <v>516652.17243999982</v>
      </c>
      <c r="N115" s="33"/>
      <c r="O115" s="33"/>
      <c r="P115" s="33"/>
      <c r="Q115" s="33"/>
      <c r="R115" s="33"/>
      <c r="S115" s="33"/>
      <c r="T115" s="33"/>
      <c r="U115" s="33"/>
      <c r="V115" s="33"/>
    </row>
    <row r="116" spans="1:22">
      <c r="A116" s="101" t="s">
        <v>143</v>
      </c>
      <c r="B116" s="107">
        <v>560139</v>
      </c>
      <c r="C116" s="107">
        <v>618925</v>
      </c>
      <c r="D116" s="107">
        <v>656001</v>
      </c>
      <c r="E116" s="107">
        <v>779674</v>
      </c>
      <c r="F116" s="107">
        <v>737015</v>
      </c>
      <c r="G116" s="107">
        <v>764292</v>
      </c>
      <c r="H116" s="107">
        <v>798103</v>
      </c>
      <c r="I116" s="107">
        <v>834880</v>
      </c>
      <c r="J116" s="107">
        <v>859748</v>
      </c>
      <c r="K116" s="107">
        <v>672354</v>
      </c>
      <c r="N116" s="33"/>
      <c r="O116" s="33"/>
      <c r="P116" s="33"/>
      <c r="Q116" s="33"/>
      <c r="R116" s="33"/>
      <c r="S116" s="33"/>
      <c r="T116" s="33"/>
      <c r="U116" s="33"/>
      <c r="V116" s="33"/>
    </row>
    <row r="117" spans="1:22">
      <c r="A117" s="101" t="s">
        <v>144</v>
      </c>
      <c r="B117" s="107">
        <v>218564.17469999997</v>
      </c>
      <c r="C117" s="107">
        <v>236285.37060000002</v>
      </c>
      <c r="D117" s="107">
        <v>239494.59010000003</v>
      </c>
      <c r="E117" s="107">
        <v>242002.3603</v>
      </c>
      <c r="F117" s="107">
        <v>253373.64998000005</v>
      </c>
      <c r="G117" s="107">
        <v>258832.90557</v>
      </c>
      <c r="H117" s="107">
        <v>272329.03738999995</v>
      </c>
      <c r="I117" s="107">
        <v>280579.12129999994</v>
      </c>
      <c r="J117" s="107">
        <v>290158.70877999975</v>
      </c>
      <c r="K117" s="107">
        <v>221111.65301000004</v>
      </c>
      <c r="N117" s="33"/>
      <c r="O117" s="33"/>
      <c r="P117" s="33"/>
      <c r="Q117" s="33"/>
      <c r="R117" s="33"/>
      <c r="S117" s="33"/>
      <c r="T117" s="33"/>
      <c r="U117" s="33"/>
      <c r="V117" s="33"/>
    </row>
    <row r="118" spans="1:22">
      <c r="A118" s="101" t="s">
        <v>145</v>
      </c>
      <c r="B118" s="107">
        <v>177638</v>
      </c>
      <c r="C118" s="107">
        <v>197050</v>
      </c>
      <c r="D118" s="107">
        <v>208440</v>
      </c>
      <c r="E118" s="107">
        <v>213611</v>
      </c>
      <c r="F118" s="107">
        <v>218668</v>
      </c>
      <c r="G118" s="107">
        <v>224374</v>
      </c>
      <c r="H118" s="107">
        <v>230783</v>
      </c>
      <c r="I118" s="107">
        <v>242941</v>
      </c>
      <c r="J118" s="107">
        <v>248820</v>
      </c>
      <c r="K118" s="107">
        <v>182844</v>
      </c>
      <c r="N118" s="33"/>
      <c r="O118" s="33"/>
      <c r="P118" s="33"/>
      <c r="Q118" s="33"/>
      <c r="R118" s="33"/>
      <c r="S118" s="33"/>
      <c r="T118" s="33"/>
      <c r="U118" s="33"/>
      <c r="V118" s="33"/>
    </row>
    <row r="119" spans="1:22">
      <c r="A119" s="101" t="s">
        <v>146</v>
      </c>
      <c r="B119" s="107">
        <v>122660</v>
      </c>
      <c r="C119" s="107">
        <v>132013</v>
      </c>
      <c r="D119" s="107">
        <v>140473.7905</v>
      </c>
      <c r="E119" s="107">
        <v>144942.8811</v>
      </c>
      <c r="F119" s="107">
        <v>153503</v>
      </c>
      <c r="G119" s="107">
        <v>156112</v>
      </c>
      <c r="H119" s="107">
        <v>159796</v>
      </c>
      <c r="I119" s="107">
        <v>170095</v>
      </c>
      <c r="J119" s="107">
        <v>174106</v>
      </c>
      <c r="K119" s="107">
        <v>133724</v>
      </c>
      <c r="N119" s="33"/>
      <c r="O119" s="33"/>
      <c r="P119" s="33"/>
      <c r="Q119" s="33"/>
      <c r="R119" s="33"/>
      <c r="S119" s="33"/>
      <c r="T119" s="33"/>
      <c r="U119" s="33"/>
      <c r="V119" s="33"/>
    </row>
    <row r="120" spans="1:22">
      <c r="A120" s="101" t="s">
        <v>147</v>
      </c>
      <c r="B120" s="107">
        <v>267338</v>
      </c>
      <c r="C120" s="107">
        <v>288064</v>
      </c>
      <c r="D120" s="107">
        <v>302210</v>
      </c>
      <c r="E120" s="107">
        <v>301546</v>
      </c>
      <c r="F120" s="107">
        <v>319782</v>
      </c>
      <c r="G120" s="107">
        <v>337178</v>
      </c>
      <c r="H120" s="107">
        <v>350600</v>
      </c>
      <c r="I120" s="107">
        <v>355176</v>
      </c>
      <c r="J120" s="107">
        <v>355320</v>
      </c>
      <c r="K120" s="107">
        <v>272630</v>
      </c>
      <c r="N120" s="33"/>
      <c r="O120" s="33"/>
      <c r="P120" s="33"/>
      <c r="Q120" s="33"/>
      <c r="R120" s="33"/>
      <c r="S120" s="33"/>
      <c r="T120" s="33"/>
      <c r="U120" s="33"/>
      <c r="V120" s="33"/>
    </row>
    <row r="121" spans="1:22">
      <c r="A121" s="101" t="s">
        <v>148</v>
      </c>
      <c r="B121" s="107">
        <v>199206.01</v>
      </c>
      <c r="C121" s="107">
        <v>221029</v>
      </c>
      <c r="D121" s="107">
        <v>221240.39439999999</v>
      </c>
      <c r="E121" s="107">
        <v>226106.49319999997</v>
      </c>
      <c r="F121" s="107">
        <v>235474.00331999996</v>
      </c>
      <c r="G121" s="107">
        <v>237623.64672999998</v>
      </c>
      <c r="H121" s="107">
        <v>242784.35000000003</v>
      </c>
      <c r="I121" s="107">
        <v>250621.23361999996</v>
      </c>
      <c r="J121" s="107">
        <v>260984.48867000008</v>
      </c>
      <c r="K121" s="107">
        <v>197714.94358999992</v>
      </c>
      <c r="N121" s="33"/>
      <c r="O121" s="33"/>
      <c r="P121" s="33"/>
      <c r="Q121" s="33"/>
      <c r="R121" s="33"/>
      <c r="S121" s="33"/>
      <c r="T121" s="33"/>
      <c r="U121" s="33"/>
      <c r="V121" s="33"/>
    </row>
    <row r="122" spans="1:22">
      <c r="A122" s="101" t="s">
        <v>149</v>
      </c>
      <c r="B122" s="107">
        <v>205416.23480000001</v>
      </c>
      <c r="C122" s="107">
        <v>228104.19520000002</v>
      </c>
      <c r="D122" s="107">
        <v>249927.22340000002</v>
      </c>
      <c r="E122" s="107">
        <v>260957.58900000004</v>
      </c>
      <c r="F122" s="107">
        <v>271586.96348000003</v>
      </c>
      <c r="G122" s="107">
        <v>282961.98345999996</v>
      </c>
      <c r="H122" s="107">
        <v>294393.84616900003</v>
      </c>
      <c r="I122" s="107">
        <v>306284.69527999987</v>
      </c>
      <c r="J122" s="107">
        <v>323159.13142000017</v>
      </c>
      <c r="K122" s="107">
        <v>251871.67450369991</v>
      </c>
      <c r="N122" s="33"/>
      <c r="O122" s="33"/>
      <c r="P122" s="33"/>
      <c r="Q122" s="33"/>
      <c r="R122" s="33"/>
      <c r="S122" s="33"/>
      <c r="T122" s="33"/>
      <c r="U122" s="33"/>
      <c r="V122" s="33"/>
    </row>
    <row r="123" spans="1:22">
      <c r="A123" s="101" t="s">
        <v>150</v>
      </c>
      <c r="B123" s="107">
        <v>276923.82</v>
      </c>
      <c r="C123" s="107">
        <v>288858.32</v>
      </c>
      <c r="D123" s="107"/>
      <c r="E123" s="107"/>
      <c r="F123" s="107"/>
      <c r="G123" s="107"/>
      <c r="H123" s="107"/>
      <c r="I123" s="107"/>
      <c r="J123" s="107"/>
      <c r="K123" s="107"/>
      <c r="N123" s="33"/>
      <c r="O123" s="33"/>
      <c r="P123" s="33"/>
      <c r="Q123" s="33"/>
      <c r="R123" s="33"/>
      <c r="S123" s="33"/>
      <c r="T123" s="33"/>
      <c r="U123" s="33"/>
      <c r="V123" s="33"/>
    </row>
    <row r="124" spans="1:22">
      <c r="A124" s="101" t="s">
        <v>151</v>
      </c>
      <c r="B124" s="107">
        <v>72486</v>
      </c>
      <c r="C124" s="107">
        <v>78376</v>
      </c>
      <c r="D124" s="107">
        <v>80172</v>
      </c>
      <c r="E124" s="107">
        <v>84585</v>
      </c>
      <c r="F124" s="107">
        <v>87228</v>
      </c>
      <c r="G124" s="107">
        <v>88469</v>
      </c>
      <c r="H124" s="107">
        <v>93724</v>
      </c>
      <c r="I124" s="107">
        <v>97139</v>
      </c>
      <c r="J124" s="107">
        <v>96141</v>
      </c>
      <c r="K124" s="107">
        <v>72239</v>
      </c>
      <c r="N124" s="33"/>
      <c r="O124" s="33"/>
      <c r="P124" s="33"/>
      <c r="Q124" s="33"/>
      <c r="R124" s="33"/>
      <c r="S124" s="33"/>
      <c r="T124" s="33"/>
      <c r="U124" s="33"/>
      <c r="V124" s="33"/>
    </row>
    <row r="125" spans="1:22">
      <c r="A125" s="101" t="s">
        <v>152</v>
      </c>
      <c r="B125" s="108">
        <f>B123+B126</f>
        <v>399771.63899999997</v>
      </c>
      <c r="C125" s="108">
        <f>C123+C126</f>
        <v>426760.92310000001</v>
      </c>
      <c r="D125" s="107">
        <v>449867.84630000009</v>
      </c>
      <c r="E125" s="107">
        <v>456941.41159999999</v>
      </c>
      <c r="F125" s="107">
        <v>482830.02784</v>
      </c>
      <c r="G125" s="107">
        <v>482372.82266000001</v>
      </c>
      <c r="H125" s="107">
        <v>499553.93700000009</v>
      </c>
      <c r="I125" s="107">
        <v>524768.93376999989</v>
      </c>
      <c r="J125" s="107">
        <v>544299.37202000024</v>
      </c>
      <c r="K125" s="107">
        <v>409472.87523999985</v>
      </c>
      <c r="N125" s="33"/>
      <c r="O125" s="33"/>
      <c r="P125" s="33"/>
      <c r="Q125" s="33"/>
      <c r="R125" s="33"/>
      <c r="S125" s="33"/>
      <c r="T125" s="33"/>
      <c r="U125" s="33"/>
      <c r="V125" s="33"/>
    </row>
    <row r="126" spans="1:22">
      <c r="A126" s="101" t="s">
        <v>153</v>
      </c>
      <c r="B126" s="107">
        <v>122847.81899999999</v>
      </c>
      <c r="C126" s="107">
        <v>137902.60310000001</v>
      </c>
      <c r="D126" s="107"/>
      <c r="E126" s="107"/>
      <c r="F126" s="107"/>
      <c r="G126" s="107"/>
      <c r="H126" s="107"/>
      <c r="I126" s="107"/>
      <c r="J126" s="107"/>
      <c r="K126" s="107"/>
      <c r="N126" s="33"/>
      <c r="O126" s="33"/>
      <c r="P126" s="33"/>
      <c r="Q126" s="33"/>
      <c r="R126" s="33"/>
      <c r="S126" s="33"/>
      <c r="T126" s="33"/>
      <c r="U126" s="33"/>
      <c r="V126" s="33"/>
    </row>
    <row r="127" spans="1:22">
      <c r="A127" s="101" t="s">
        <v>154</v>
      </c>
      <c r="B127" s="107">
        <v>66352.238499999992</v>
      </c>
      <c r="C127" s="107">
        <v>77861.875</v>
      </c>
      <c r="D127" s="107">
        <v>82253.153000000006</v>
      </c>
      <c r="E127" s="107">
        <v>84966.288</v>
      </c>
      <c r="F127" s="107">
        <v>86552</v>
      </c>
      <c r="G127" s="107">
        <v>91157</v>
      </c>
      <c r="H127" s="107">
        <v>91659</v>
      </c>
      <c r="I127" s="107">
        <v>96156</v>
      </c>
      <c r="J127" s="107">
        <v>97883.525000000009</v>
      </c>
      <c r="K127" s="107">
        <v>75421</v>
      </c>
      <c r="N127" s="33"/>
      <c r="O127" s="33"/>
      <c r="P127" s="33"/>
      <c r="Q127" s="33"/>
      <c r="R127" s="33"/>
      <c r="S127" s="33"/>
      <c r="T127" s="33"/>
      <c r="U127" s="33"/>
      <c r="V127" s="33"/>
    </row>
    <row r="128" spans="1:22">
      <c r="A128" s="101" t="s">
        <v>155</v>
      </c>
      <c r="B128" s="107">
        <v>157351</v>
      </c>
      <c r="C128" s="107">
        <v>166629</v>
      </c>
      <c r="D128" s="107">
        <v>173026</v>
      </c>
      <c r="E128" s="107">
        <v>173354</v>
      </c>
      <c r="F128" s="107">
        <v>177116</v>
      </c>
      <c r="G128" s="107">
        <v>182257</v>
      </c>
      <c r="H128" s="107">
        <v>187803</v>
      </c>
      <c r="I128" s="107">
        <v>195725</v>
      </c>
      <c r="J128" s="107">
        <v>204061</v>
      </c>
      <c r="K128" s="107">
        <v>155785</v>
      </c>
      <c r="N128" s="33"/>
      <c r="O128" s="33"/>
      <c r="P128" s="33"/>
      <c r="Q128" s="33"/>
      <c r="R128" s="33"/>
      <c r="S128" s="33"/>
      <c r="T128" s="33"/>
      <c r="U128" s="33"/>
      <c r="V128" s="33"/>
    </row>
    <row r="129" spans="1:22">
      <c r="A129" s="101" t="s">
        <v>156</v>
      </c>
      <c r="B129" s="107">
        <v>550282.87699999998</v>
      </c>
      <c r="C129" s="107">
        <v>636785</v>
      </c>
      <c r="D129" s="107">
        <v>672144</v>
      </c>
      <c r="E129" s="107">
        <v>779337</v>
      </c>
      <c r="F129" s="107">
        <v>732930</v>
      </c>
      <c r="G129" s="107">
        <v>763358</v>
      </c>
      <c r="H129" s="107">
        <v>791776.3</v>
      </c>
      <c r="I129" s="107">
        <v>822230.55510999996</v>
      </c>
      <c r="J129" s="107">
        <v>837768.26191999984</v>
      </c>
      <c r="K129" s="107">
        <v>663257.56960000005</v>
      </c>
      <c r="N129" s="33"/>
      <c r="O129" s="33"/>
      <c r="P129" s="33"/>
      <c r="Q129" s="33"/>
      <c r="R129" s="33"/>
      <c r="S129" s="33"/>
      <c r="T129" s="33"/>
      <c r="U129" s="33"/>
      <c r="V129" s="33"/>
    </row>
    <row r="130" spans="1:22">
      <c r="A130" s="101" t="s">
        <v>157</v>
      </c>
      <c r="B130" s="107">
        <v>53130.5</v>
      </c>
      <c r="C130" s="107">
        <v>59417</v>
      </c>
      <c r="D130" s="107">
        <v>58028</v>
      </c>
      <c r="E130" s="107">
        <v>59609</v>
      </c>
      <c r="F130" s="107">
        <v>61577</v>
      </c>
      <c r="G130" s="107">
        <v>61044</v>
      </c>
      <c r="H130" s="107">
        <v>63091</v>
      </c>
      <c r="I130" s="107">
        <v>64759.000000000007</v>
      </c>
      <c r="J130" s="107">
        <v>68926.120229999971</v>
      </c>
      <c r="K130" s="107">
        <v>51223.454869999994</v>
      </c>
      <c r="N130" s="33"/>
      <c r="O130" s="33"/>
      <c r="P130" s="33"/>
      <c r="Q130" s="33"/>
      <c r="R130" s="33"/>
      <c r="S130" s="33"/>
      <c r="T130" s="33"/>
      <c r="U130" s="33"/>
      <c r="V130" s="33"/>
    </row>
    <row r="131" spans="1:22">
      <c r="A131" s="101" t="s">
        <v>158</v>
      </c>
      <c r="B131" s="107">
        <v>564833</v>
      </c>
      <c r="C131" s="107">
        <v>627758</v>
      </c>
      <c r="D131" s="107">
        <v>647493</v>
      </c>
      <c r="E131" s="107">
        <v>658121</v>
      </c>
      <c r="F131" s="107">
        <v>705311</v>
      </c>
      <c r="G131" s="107">
        <v>734821</v>
      </c>
      <c r="H131" s="107">
        <v>777204</v>
      </c>
      <c r="I131" s="107">
        <v>845170</v>
      </c>
      <c r="J131" s="107">
        <v>857041</v>
      </c>
      <c r="K131" s="107">
        <v>667429</v>
      </c>
      <c r="N131" s="33"/>
      <c r="O131" s="33"/>
      <c r="P131" s="33"/>
      <c r="Q131" s="33"/>
      <c r="R131" s="33"/>
      <c r="S131" s="33"/>
      <c r="T131" s="33"/>
      <c r="U131" s="33"/>
      <c r="V131" s="33"/>
    </row>
    <row r="132" spans="1:22">
      <c r="A132" s="101" t="s">
        <v>159</v>
      </c>
      <c r="B132" s="107">
        <v>78133</v>
      </c>
      <c r="C132" s="107">
        <v>84116</v>
      </c>
      <c r="D132" s="107">
        <v>88347.168000000005</v>
      </c>
      <c r="E132" s="107">
        <v>90229</v>
      </c>
      <c r="F132" s="107">
        <v>91210</v>
      </c>
      <c r="G132" s="107">
        <v>91705.146000000022</v>
      </c>
      <c r="H132" s="107">
        <v>88544</v>
      </c>
      <c r="I132" s="107">
        <v>90037</v>
      </c>
      <c r="J132" s="107">
        <v>88637</v>
      </c>
      <c r="K132" s="107">
        <v>67281.982309999978</v>
      </c>
      <c r="N132" s="33"/>
      <c r="O132" s="33"/>
      <c r="P132" s="33"/>
      <c r="Q132" s="33"/>
      <c r="R132" s="33"/>
      <c r="S132" s="33"/>
      <c r="T132" s="33"/>
      <c r="U132" s="33"/>
      <c r="V132" s="33"/>
    </row>
    <row r="133" spans="1:22">
      <c r="A133" s="102" t="s">
        <v>160</v>
      </c>
      <c r="B133" s="110">
        <v>99825</v>
      </c>
      <c r="C133" s="110">
        <v>108526</v>
      </c>
      <c r="D133" s="110">
        <v>109571</v>
      </c>
      <c r="E133" s="110">
        <v>111180</v>
      </c>
      <c r="F133" s="110">
        <v>113829</v>
      </c>
      <c r="G133" s="110">
        <v>116088</v>
      </c>
      <c r="H133" s="110">
        <v>118067</v>
      </c>
      <c r="I133" s="110">
        <v>119201</v>
      </c>
      <c r="J133" s="110">
        <v>121218</v>
      </c>
      <c r="K133" s="110">
        <v>92347</v>
      </c>
      <c r="N133" s="33"/>
      <c r="O133" s="33"/>
      <c r="P133" s="33"/>
      <c r="Q133" s="33"/>
      <c r="R133" s="33"/>
      <c r="S133" s="33"/>
      <c r="T133" s="33"/>
      <c r="U133" s="33"/>
      <c r="V133" s="33"/>
    </row>
    <row r="134" spans="1:22">
      <c r="A134" s="105" t="s">
        <v>161</v>
      </c>
      <c r="B134" s="107">
        <v>6269136.608500001</v>
      </c>
      <c r="C134" s="107">
        <v>6866765.3236000007</v>
      </c>
      <c r="D134" s="107">
        <v>7207422.9188000001</v>
      </c>
      <c r="E134" s="107">
        <v>7583888.5742999995</v>
      </c>
      <c r="F134" s="107">
        <v>7789737.4650299996</v>
      </c>
      <c r="G134" s="107">
        <v>8015776.6672800006</v>
      </c>
      <c r="H134" s="107">
        <v>8302027.2793990001</v>
      </c>
      <c r="I134" s="107">
        <v>8656024.94943</v>
      </c>
      <c r="J134" s="107">
        <v>8906707.6705100015</v>
      </c>
      <c r="K134" s="107">
        <v>6868207.169863699</v>
      </c>
      <c r="N134" s="33"/>
      <c r="O134" s="33"/>
      <c r="P134" s="33"/>
      <c r="Q134" s="33"/>
      <c r="R134" s="33"/>
      <c r="S134" s="33"/>
      <c r="T134" s="33"/>
      <c r="U134" s="33"/>
      <c r="V134" s="33"/>
    </row>
    <row r="136" spans="1:22">
      <c r="A136" s="95" t="s">
        <v>175</v>
      </c>
      <c r="K136" s="14" t="s">
        <v>176</v>
      </c>
    </row>
    <row r="137" spans="1:22">
      <c r="A137" s="101" t="s">
        <v>139</v>
      </c>
      <c r="B137" s="107">
        <v>7423.1383000000005</v>
      </c>
      <c r="C137" s="107">
        <v>7669.2316999999994</v>
      </c>
      <c r="D137" s="107">
        <v>7810.8108000000002</v>
      </c>
      <c r="E137" s="42">
        <v>7926.2382999999991</v>
      </c>
      <c r="F137" s="42">
        <v>7859.1108333333332</v>
      </c>
      <c r="G137" s="42">
        <v>7876.9158333333326</v>
      </c>
      <c r="H137" s="42">
        <v>8066.916666666667</v>
      </c>
      <c r="I137" s="42">
        <v>8282.7291026615003</v>
      </c>
      <c r="J137" s="42">
        <v>8379.6983333333319</v>
      </c>
      <c r="K137" s="42">
        <v>8728.6427111111116</v>
      </c>
    </row>
    <row r="138" spans="1:22">
      <c r="A138" s="101" t="s">
        <v>140</v>
      </c>
      <c r="B138" s="107">
        <v>2206.5</v>
      </c>
      <c r="C138" s="107">
        <v>2296.9166</v>
      </c>
      <c r="D138" s="107">
        <v>2405.8334</v>
      </c>
      <c r="E138" s="107">
        <v>2313.5</v>
      </c>
      <c r="F138" s="107">
        <v>2393.75</v>
      </c>
      <c r="G138" s="107">
        <v>2390.75</v>
      </c>
      <c r="H138" s="107">
        <v>2442.5833333333335</v>
      </c>
      <c r="I138" s="107">
        <v>2531.25</v>
      </c>
      <c r="J138" s="107">
        <v>2562.3333333333335</v>
      </c>
      <c r="K138" s="42">
        <v>2596.4633333333336</v>
      </c>
    </row>
    <row r="139" spans="1:22">
      <c r="A139" s="101" t="s">
        <v>141</v>
      </c>
      <c r="B139" s="107">
        <v>6473.9632999999994</v>
      </c>
      <c r="C139" s="107">
        <v>6677.1650000000009</v>
      </c>
      <c r="D139" s="107">
        <v>6849.1424999999999</v>
      </c>
      <c r="E139" s="107">
        <v>6970.8525</v>
      </c>
      <c r="F139" s="107">
        <v>7013.9983333333339</v>
      </c>
      <c r="G139" s="107">
        <v>7333.0749999999998</v>
      </c>
      <c r="H139" s="107">
        <v>7526.5712388817492</v>
      </c>
      <c r="I139" s="107">
        <v>7605.3074881732509</v>
      </c>
      <c r="J139" s="107">
        <v>7736.9408777959989</v>
      </c>
      <c r="K139" s="42">
        <v>7777.34</v>
      </c>
    </row>
    <row r="140" spans="1:22">
      <c r="A140" s="101" t="s">
        <v>142</v>
      </c>
      <c r="B140" s="107">
        <v>3865.0561000000002</v>
      </c>
      <c r="C140" s="107">
        <v>4085.8794000000003</v>
      </c>
      <c r="D140" s="107">
        <v>4341.4840000000004</v>
      </c>
      <c r="E140" s="107">
        <v>4298.4308999999994</v>
      </c>
      <c r="F140" s="107">
        <v>4368.3447767170828</v>
      </c>
      <c r="G140" s="107">
        <v>4545.2733315486666</v>
      </c>
      <c r="H140" s="107">
        <v>4642.3015086295827</v>
      </c>
      <c r="I140" s="107">
        <v>4704.884789873583</v>
      </c>
      <c r="J140" s="107">
        <v>4790.4286999999995</v>
      </c>
      <c r="K140" s="42">
        <v>4761.4363000000003</v>
      </c>
    </row>
    <row r="141" spans="1:22">
      <c r="A141" s="101" t="s">
        <v>143</v>
      </c>
      <c r="B141" s="107">
        <v>4385.5933999999997</v>
      </c>
      <c r="C141" s="107">
        <v>4849.25</v>
      </c>
      <c r="D141" s="107">
        <v>5288.75</v>
      </c>
      <c r="E141" s="107">
        <v>5414.75</v>
      </c>
      <c r="F141" s="107">
        <v>5641.833333333333</v>
      </c>
      <c r="G141" s="107">
        <v>5923.333333333333</v>
      </c>
      <c r="H141" s="107">
        <v>5959.3</v>
      </c>
      <c r="I141" s="107">
        <v>6026.75</v>
      </c>
      <c r="J141" s="107">
        <v>6119.416666666667</v>
      </c>
      <c r="K141" s="42">
        <v>6175.1111111111113</v>
      </c>
    </row>
    <row r="142" spans="1:22">
      <c r="A142" s="101" t="s">
        <v>144</v>
      </c>
      <c r="B142" s="107">
        <v>1927.1415999999999</v>
      </c>
      <c r="C142" s="107">
        <v>2034.8432999999998</v>
      </c>
      <c r="D142" s="107">
        <v>2048.8308999999999</v>
      </c>
      <c r="E142" s="107">
        <v>2001.8066000000001</v>
      </c>
      <c r="F142" s="107">
        <v>2033.9416666666666</v>
      </c>
      <c r="G142" s="107">
        <v>2030.698333333333</v>
      </c>
      <c r="H142" s="107">
        <v>2072.0549999999998</v>
      </c>
      <c r="I142" s="107">
        <v>2131.6150000000002</v>
      </c>
      <c r="J142" s="107">
        <v>2163.7891666666669</v>
      </c>
      <c r="K142" s="42">
        <v>2217.3828888888884</v>
      </c>
    </row>
    <row r="143" spans="1:22">
      <c r="A143" s="101" t="s">
        <v>145</v>
      </c>
      <c r="B143" s="107">
        <v>1681.8333</v>
      </c>
      <c r="C143" s="107">
        <v>1787.7658000000001</v>
      </c>
      <c r="D143" s="107">
        <v>1773.2583</v>
      </c>
      <c r="E143" s="107">
        <v>1808.7324999999998</v>
      </c>
      <c r="F143" s="107">
        <v>1851.5174999999999</v>
      </c>
      <c r="G143" s="107">
        <v>1840.0358333333334</v>
      </c>
      <c r="H143" s="107">
        <v>1811.4216666666664</v>
      </c>
      <c r="I143" s="107">
        <v>1882.7583333333332</v>
      </c>
      <c r="J143" s="107">
        <v>1848.6933333333338</v>
      </c>
      <c r="K143" s="42">
        <v>1807.8100000000002</v>
      </c>
    </row>
    <row r="144" spans="1:22">
      <c r="A144" s="101" t="s">
        <v>146</v>
      </c>
      <c r="B144" s="107">
        <v>1023.5833</v>
      </c>
      <c r="C144" s="107">
        <v>1057.7308</v>
      </c>
      <c r="D144" s="107">
        <v>1086.5833</v>
      </c>
      <c r="E144" s="107">
        <v>1107.0473</v>
      </c>
      <c r="F144" s="107">
        <v>1108.7529155833333</v>
      </c>
      <c r="G144" s="107">
        <v>1089.5833333333333</v>
      </c>
      <c r="H144" s="107">
        <v>1119.0833333333333</v>
      </c>
      <c r="I144" s="107">
        <v>1155.5</v>
      </c>
      <c r="J144" s="107">
        <v>1180.75</v>
      </c>
      <c r="K144" s="42">
        <v>1201.1111111111111</v>
      </c>
    </row>
    <row r="145" spans="1:11">
      <c r="A145" s="101" t="s">
        <v>147</v>
      </c>
      <c r="B145" s="107">
        <v>2024.9083000000001</v>
      </c>
      <c r="C145" s="107">
        <v>2125.1557000000003</v>
      </c>
      <c r="D145" s="107">
        <v>2110.9108000000001</v>
      </c>
      <c r="E145" s="107">
        <v>2106.2133000000003</v>
      </c>
      <c r="F145" s="107">
        <v>2096.688333333333</v>
      </c>
      <c r="G145" s="107">
        <v>2153.4950000000003</v>
      </c>
      <c r="H145" s="107">
        <v>2185.9983333333334</v>
      </c>
      <c r="I145" s="107">
        <v>2208.8199999999997</v>
      </c>
      <c r="J145" s="107">
        <v>2232.3558333333335</v>
      </c>
      <c r="K145" s="42">
        <v>2235.5866666666666</v>
      </c>
    </row>
    <row r="146" spans="1:11">
      <c r="A146" s="101" t="s">
        <v>148</v>
      </c>
      <c r="B146" s="107">
        <v>1754.1958999999999</v>
      </c>
      <c r="C146" s="107">
        <v>1835.7725</v>
      </c>
      <c r="D146" s="107">
        <v>1825.2300999999998</v>
      </c>
      <c r="E146" s="107">
        <v>1807.2166999999999</v>
      </c>
      <c r="F146" s="107">
        <v>1853.4078769390001</v>
      </c>
      <c r="G146" s="107">
        <v>1843.386666666667</v>
      </c>
      <c r="H146" s="107">
        <v>1814.75</v>
      </c>
      <c r="I146" s="107">
        <v>1857.4871666666666</v>
      </c>
      <c r="J146" s="107">
        <v>1874.3279375</v>
      </c>
      <c r="K146" s="42">
        <v>1869.2755555555555</v>
      </c>
    </row>
    <row r="147" spans="1:11">
      <c r="A147" s="101" t="s">
        <v>149</v>
      </c>
      <c r="B147" s="107">
        <v>1842.2374</v>
      </c>
      <c r="C147" s="107">
        <v>1934.4349000000002</v>
      </c>
      <c r="D147" s="107">
        <v>2027.4051999999999</v>
      </c>
      <c r="E147" s="107">
        <v>2069.1632</v>
      </c>
      <c r="F147" s="107">
        <v>2111.5808991666668</v>
      </c>
      <c r="G147" s="107">
        <v>2101.5204666666664</v>
      </c>
      <c r="H147" s="107">
        <v>2135.1547</v>
      </c>
      <c r="I147" s="107">
        <v>2222.9048333333335</v>
      </c>
      <c r="J147" s="107">
        <v>2301.3295083333337</v>
      </c>
      <c r="K147" s="42">
        <v>2309.168444444445</v>
      </c>
    </row>
    <row r="148" spans="1:11">
      <c r="A148" s="101" t="s">
        <v>150</v>
      </c>
      <c r="B148" s="107">
        <v>2334.2325999999998</v>
      </c>
      <c r="C148" s="107">
        <v>2397.8441000000003</v>
      </c>
      <c r="D148" s="107"/>
      <c r="E148" s="107"/>
      <c r="F148" s="107"/>
      <c r="G148" s="107"/>
      <c r="H148" s="107"/>
      <c r="I148" s="107"/>
      <c r="J148" s="107"/>
      <c r="K148" s="42"/>
    </row>
    <row r="149" spans="1:11">
      <c r="A149" s="101" t="s">
        <v>151</v>
      </c>
      <c r="B149" s="107">
        <v>614.25009999999997</v>
      </c>
      <c r="C149" s="107">
        <v>631.04</v>
      </c>
      <c r="D149" s="107">
        <v>628.25</v>
      </c>
      <c r="E149" s="107">
        <v>646.58320000000003</v>
      </c>
      <c r="F149" s="107">
        <v>663.08333333333337</v>
      </c>
      <c r="G149" s="107">
        <v>667.90499999999997</v>
      </c>
      <c r="H149" s="107">
        <v>675.48833333333323</v>
      </c>
      <c r="I149" s="107">
        <v>679.87666666666667</v>
      </c>
      <c r="J149" s="107">
        <v>668.6774999999999</v>
      </c>
      <c r="K149" s="42">
        <v>649.86111111111109</v>
      </c>
    </row>
    <row r="150" spans="1:11">
      <c r="A150" s="101" t="s">
        <v>152</v>
      </c>
      <c r="B150" s="108">
        <f>B148+B151</f>
        <v>3300.2317999999996</v>
      </c>
      <c r="C150" s="108">
        <f>C148+C151</f>
        <v>3407.5082000000002</v>
      </c>
      <c r="D150" s="107">
        <v>3471.0241999999998</v>
      </c>
      <c r="E150" s="107">
        <v>3504.8333000000002</v>
      </c>
      <c r="F150" s="107">
        <v>3582.5833333333335</v>
      </c>
      <c r="G150" s="107">
        <v>3637.5833333333335</v>
      </c>
      <c r="H150" s="107">
        <v>3648.3225000000007</v>
      </c>
      <c r="I150" s="107">
        <v>3644.0849999999996</v>
      </c>
      <c r="J150" s="107">
        <v>3594.3274999999994</v>
      </c>
      <c r="K150" s="42">
        <v>3619.7044444444446</v>
      </c>
    </row>
    <row r="151" spans="1:11">
      <c r="A151" s="101" t="s">
        <v>153</v>
      </c>
      <c r="B151" s="107">
        <v>965.99919999999997</v>
      </c>
      <c r="C151" s="107">
        <v>1009.6641</v>
      </c>
      <c r="D151" s="107"/>
      <c r="E151" s="107"/>
      <c r="F151" s="107"/>
      <c r="G151" s="107"/>
      <c r="H151" s="107"/>
      <c r="I151" s="107"/>
      <c r="J151" s="107"/>
      <c r="K151" s="42"/>
    </row>
    <row r="152" spans="1:11">
      <c r="A152" s="101" t="s">
        <v>154</v>
      </c>
      <c r="B152" s="107">
        <v>583.19169999999997</v>
      </c>
      <c r="C152" s="107">
        <v>608.13</v>
      </c>
      <c r="D152" s="107">
        <v>622.15829999999994</v>
      </c>
      <c r="E152" s="107">
        <v>620.65419999999995</v>
      </c>
      <c r="F152" s="107">
        <v>624.66666666666663</v>
      </c>
      <c r="G152" s="107">
        <v>642.91666666666663</v>
      </c>
      <c r="H152" s="107">
        <v>630.08333333333337</v>
      </c>
      <c r="I152" s="107">
        <v>645.86333333333334</v>
      </c>
      <c r="J152" s="107">
        <v>657.39083333333338</v>
      </c>
      <c r="K152" s="42">
        <v>659.33333333333337</v>
      </c>
    </row>
    <row r="153" spans="1:11">
      <c r="A153" s="101" t="s">
        <v>155</v>
      </c>
      <c r="B153" s="107">
        <v>1230.7199000000001</v>
      </c>
      <c r="C153" s="107">
        <v>1266.9141</v>
      </c>
      <c r="D153" s="107">
        <v>1267.4692</v>
      </c>
      <c r="E153" s="107">
        <v>1300.2291</v>
      </c>
      <c r="F153" s="107">
        <v>1315.3675000000001</v>
      </c>
      <c r="G153" s="107">
        <v>1325.7550000000001</v>
      </c>
      <c r="H153" s="107">
        <v>1316.9533333333336</v>
      </c>
      <c r="I153" s="107">
        <v>1334.0608333333332</v>
      </c>
      <c r="J153" s="107">
        <v>1357.8708333333336</v>
      </c>
      <c r="K153" s="42">
        <v>1417.3355555555559</v>
      </c>
    </row>
    <row r="154" spans="1:11">
      <c r="A154" s="101" t="s">
        <v>156</v>
      </c>
      <c r="B154" s="107">
        <v>4443.1041999999998</v>
      </c>
      <c r="C154" s="107">
        <v>4758.9341999999997</v>
      </c>
      <c r="D154" s="107">
        <v>4953.955899999999</v>
      </c>
      <c r="E154" s="107">
        <v>5125.5392000000002</v>
      </c>
      <c r="F154" s="107">
        <v>5252.6924999999992</v>
      </c>
      <c r="G154" s="107">
        <v>5296.6816666666664</v>
      </c>
      <c r="H154" s="107">
        <v>5433.104166666667</v>
      </c>
      <c r="I154" s="107">
        <v>5551.0750000000007</v>
      </c>
      <c r="J154" s="107">
        <v>5612.5024999999996</v>
      </c>
      <c r="K154" s="42">
        <v>5805.6777777777779</v>
      </c>
    </row>
    <row r="155" spans="1:11">
      <c r="A155" s="101" t="s">
        <v>157</v>
      </c>
      <c r="B155" s="107">
        <v>406.2192</v>
      </c>
      <c r="C155" s="107">
        <v>432.51</v>
      </c>
      <c r="D155" s="107">
        <v>437.13259999999997</v>
      </c>
      <c r="E155" s="107">
        <v>440.84879999999998</v>
      </c>
      <c r="F155" s="107">
        <v>440.95833333333331</v>
      </c>
      <c r="G155" s="107">
        <v>426.11141666666663</v>
      </c>
      <c r="H155" s="107">
        <v>417.9591666666667</v>
      </c>
      <c r="I155" s="107">
        <v>432.8535</v>
      </c>
      <c r="J155" s="107">
        <v>442.5725833333334</v>
      </c>
      <c r="K155" s="42">
        <v>453.63755555555559</v>
      </c>
    </row>
    <row r="156" spans="1:11">
      <c r="A156" s="101" t="s">
        <v>158</v>
      </c>
      <c r="B156" s="107">
        <v>4781.9168000000009</v>
      </c>
      <c r="C156" s="107">
        <v>5121.75</v>
      </c>
      <c r="D156" s="107">
        <v>5253.9308000000001</v>
      </c>
      <c r="E156" s="107">
        <v>5252.7792000000009</v>
      </c>
      <c r="F156" s="107">
        <v>5620.7221</v>
      </c>
      <c r="G156" s="107">
        <v>5797.1958333333341</v>
      </c>
      <c r="H156" s="107">
        <v>5971.7041666666664</v>
      </c>
      <c r="I156" s="107">
        <v>6230.9725841666659</v>
      </c>
      <c r="J156" s="107">
        <v>6395.0950000000003</v>
      </c>
      <c r="K156" s="42">
        <v>6546.8999999999987</v>
      </c>
    </row>
    <row r="157" spans="1:11">
      <c r="A157" s="101" t="s">
        <v>159</v>
      </c>
      <c r="B157" s="107">
        <v>627.50840000000005</v>
      </c>
      <c r="C157" s="107">
        <v>657.07500000000005</v>
      </c>
      <c r="D157" s="107">
        <v>686.85419999999999</v>
      </c>
      <c r="E157" s="107">
        <v>685.89899999999989</v>
      </c>
      <c r="F157" s="107">
        <v>635.2833333333333</v>
      </c>
      <c r="G157" s="107">
        <v>657.32333333333349</v>
      </c>
      <c r="H157" s="107">
        <v>670.08</v>
      </c>
      <c r="I157" s="107">
        <v>666.22833333333335</v>
      </c>
      <c r="J157" s="107">
        <v>683.57500000000016</v>
      </c>
      <c r="K157" s="42">
        <v>685.4267652777778</v>
      </c>
    </row>
    <row r="158" spans="1:11">
      <c r="A158" s="102" t="s">
        <v>160</v>
      </c>
      <c r="B158" s="110">
        <v>796.4126</v>
      </c>
      <c r="C158" s="110">
        <v>810.98490000000004</v>
      </c>
      <c r="D158" s="110">
        <v>808.36</v>
      </c>
      <c r="E158" s="110">
        <v>804.06659999999999</v>
      </c>
      <c r="F158" s="110">
        <v>798.3850000000001</v>
      </c>
      <c r="G158" s="110">
        <v>810.07749999999999</v>
      </c>
      <c r="H158" s="110">
        <v>810.60833333333323</v>
      </c>
      <c r="I158" s="110">
        <v>818.00161666666656</v>
      </c>
      <c r="J158" s="110">
        <v>829.84346666666659</v>
      </c>
      <c r="K158" s="110">
        <v>848.58082222222231</v>
      </c>
    </row>
    <row r="159" spans="1:11">
      <c r="A159" s="105" t="s">
        <v>125</v>
      </c>
      <c r="B159" s="107">
        <v>51391.705600000001</v>
      </c>
      <c r="C159" s="107">
        <v>54048.992100000003</v>
      </c>
      <c r="D159" s="107">
        <v>55697.374500000005</v>
      </c>
      <c r="E159" s="107">
        <v>56205.383900000001</v>
      </c>
      <c r="F159" s="107">
        <v>57266.668568406087</v>
      </c>
      <c r="G159" s="107">
        <v>58389.61688154866</v>
      </c>
      <c r="H159" s="107">
        <v>59350.439114178007</v>
      </c>
      <c r="I159" s="107">
        <v>60613.023581541675</v>
      </c>
      <c r="J159" s="107">
        <v>61431.918906962666</v>
      </c>
      <c r="K159" s="42">
        <v>62365.785487500005</v>
      </c>
    </row>
    <row r="161" spans="1:24">
      <c r="A161" s="95" t="s">
        <v>177</v>
      </c>
      <c r="K161" s="14" t="s">
        <v>176</v>
      </c>
      <c r="M161" s="91" t="s">
        <v>178</v>
      </c>
      <c r="W161" s="14" t="s">
        <v>176</v>
      </c>
    </row>
    <row r="162" spans="1:24">
      <c r="A162" s="101" t="s">
        <v>139</v>
      </c>
      <c r="B162" s="107">
        <v>82.933335891101464</v>
      </c>
      <c r="C162" s="107">
        <v>86.131232284975823</v>
      </c>
      <c r="D162" s="107">
        <v>90.349586498753752</v>
      </c>
      <c r="E162" s="42">
        <v>90.927453190500231</v>
      </c>
      <c r="F162" s="42">
        <v>95.490765038835519</v>
      </c>
      <c r="G162" s="42">
        <v>97.77197751573452</v>
      </c>
      <c r="H162" s="107">
        <v>100.1787043789965</v>
      </c>
      <c r="I162" s="107">
        <v>100.23634078932042</v>
      </c>
      <c r="J162" s="107">
        <v>103.49134819690208</v>
      </c>
      <c r="K162" s="107">
        <v>101.29687970171416</v>
      </c>
      <c r="M162" s="101" t="s">
        <v>139</v>
      </c>
      <c r="O162" s="99">
        <f t="shared" ref="O162:W177" si="12">C162/B162-1</f>
        <v>3.8559842788350673E-2</v>
      </c>
      <c r="P162" s="99">
        <f t="shared" si="12"/>
        <v>4.8975895292209248E-2</v>
      </c>
      <c r="Q162" s="99">
        <f t="shared" si="12"/>
        <v>6.3958974704820815E-3</v>
      </c>
      <c r="R162" s="99">
        <f t="shared" si="12"/>
        <v>5.0186293448413188E-2</v>
      </c>
      <c r="S162" s="99">
        <f t="shared" si="12"/>
        <v>2.3889351771045453E-2</v>
      </c>
      <c r="T162" s="99">
        <f t="shared" si="12"/>
        <v>2.4615712235897647E-2</v>
      </c>
      <c r="U162" s="99">
        <f t="shared" si="12"/>
        <v>5.7533595269787519E-4</v>
      </c>
      <c r="V162" s="99">
        <f t="shared" si="12"/>
        <v>3.2473326359978794E-2</v>
      </c>
      <c r="W162" s="99">
        <f t="shared" si="12"/>
        <v>-2.1204366678195474E-2</v>
      </c>
      <c r="X162" s="99"/>
    </row>
    <row r="163" spans="1:24">
      <c r="A163" s="101" t="s">
        <v>140</v>
      </c>
      <c r="B163" s="107">
        <v>73.086335825968732</v>
      </c>
      <c r="C163" s="107">
        <v>77.32409613827511</v>
      </c>
      <c r="D163" s="107">
        <v>79.006301932627593</v>
      </c>
      <c r="E163" s="107">
        <v>81.644694186297812</v>
      </c>
      <c r="F163" s="107">
        <v>83.541305483028722</v>
      </c>
      <c r="G163" s="107">
        <v>85.128097877235177</v>
      </c>
      <c r="H163" s="107">
        <v>87.105318822285142</v>
      </c>
      <c r="I163" s="107">
        <v>87.837234567901234</v>
      </c>
      <c r="J163" s="107">
        <v>90.858825521009479</v>
      </c>
      <c r="K163" s="107">
        <v>92.732155663023619</v>
      </c>
      <c r="M163" s="101" t="s">
        <v>140</v>
      </c>
      <c r="O163" s="99">
        <f t="shared" si="12"/>
        <v>5.7982935721353268E-2</v>
      </c>
      <c r="P163" s="99">
        <f t="shared" si="12"/>
        <v>2.1755259723233999E-2</v>
      </c>
      <c r="Q163" s="99">
        <f t="shared" si="12"/>
        <v>3.3394706360514226E-2</v>
      </c>
      <c r="R163" s="99">
        <f t="shared" si="12"/>
        <v>2.3230061862969276E-2</v>
      </c>
      <c r="S163" s="99">
        <f t="shared" si="12"/>
        <v>1.8994105790324456E-2</v>
      </c>
      <c r="T163" s="99">
        <f t="shared" si="12"/>
        <v>2.3226419881968274E-2</v>
      </c>
      <c r="U163" s="99">
        <f t="shared" si="12"/>
        <v>8.4026527370775206E-3</v>
      </c>
      <c r="V163" s="99">
        <f t="shared" si="12"/>
        <v>3.439988710906472E-2</v>
      </c>
      <c r="W163" s="99">
        <f t="shared" si="12"/>
        <v>2.0618031669152215E-2</v>
      </c>
      <c r="X163" s="99"/>
    </row>
    <row r="164" spans="1:24">
      <c r="A164" s="101" t="s">
        <v>141</v>
      </c>
      <c r="B164" s="107">
        <v>70.417143081425877</v>
      </c>
      <c r="C164" s="107">
        <v>74.342628945068739</v>
      </c>
      <c r="D164" s="107">
        <v>77.179442536054694</v>
      </c>
      <c r="E164" s="107">
        <v>79.004110329403758</v>
      </c>
      <c r="F164" s="107">
        <v>81.290295905877741</v>
      </c>
      <c r="G164" s="107">
        <v>81.815473045073176</v>
      </c>
      <c r="H164" s="107">
        <v>82.606406060188263</v>
      </c>
      <c r="I164" s="107">
        <v>84.654433893854616</v>
      </c>
      <c r="J164" s="107">
        <v>87.25632141476477</v>
      </c>
      <c r="K164" s="107">
        <v>90.074327040693433</v>
      </c>
      <c r="M164" s="101" t="s">
        <v>141</v>
      </c>
      <c r="O164" s="99">
        <f t="shared" si="12"/>
        <v>5.5746167649881606E-2</v>
      </c>
      <c r="P164" s="99">
        <f t="shared" si="12"/>
        <v>3.8158639682786211E-2</v>
      </c>
      <c r="Q164" s="99">
        <f t="shared" si="12"/>
        <v>2.3641888738658245E-2</v>
      </c>
      <c r="R164" s="99">
        <f t="shared" si="12"/>
        <v>2.8937552324073357E-2</v>
      </c>
      <c r="S164" s="99">
        <f t="shared" si="12"/>
        <v>6.4605145465765901E-3</v>
      </c>
      <c r="T164" s="99">
        <f t="shared" si="12"/>
        <v>9.6672791304324157E-3</v>
      </c>
      <c r="U164" s="99">
        <f t="shared" si="12"/>
        <v>2.4792603035824312E-2</v>
      </c>
      <c r="V164" s="99">
        <f t="shared" si="12"/>
        <v>3.0735395669559074E-2</v>
      </c>
      <c r="W164" s="99">
        <f t="shared" si="12"/>
        <v>3.2295718868705636E-2</v>
      </c>
      <c r="X164" s="99"/>
    </row>
    <row r="165" spans="1:24">
      <c r="A165" s="101" t="s">
        <v>142</v>
      </c>
      <c r="B165" s="107">
        <v>74.522576373470997</v>
      </c>
      <c r="C165" s="107">
        <v>78.747271321811397</v>
      </c>
      <c r="D165" s="107">
        <v>80.747637121316131</v>
      </c>
      <c r="E165" s="107">
        <v>81.664293870584288</v>
      </c>
      <c r="F165" s="107">
        <v>84.651237203374535</v>
      </c>
      <c r="G165" s="107">
        <v>86.122695375203037</v>
      </c>
      <c r="H165" s="107">
        <v>88.123537637426338</v>
      </c>
      <c r="I165" s="107">
        <v>87.857598300745366</v>
      </c>
      <c r="J165" s="107">
        <v>90.573860078535375</v>
      </c>
      <c r="K165" s="107">
        <v>93.494583489439975</v>
      </c>
      <c r="M165" s="101" t="s">
        <v>142</v>
      </c>
      <c r="O165" s="99">
        <f t="shared" si="12"/>
        <v>5.6690135445241152E-2</v>
      </c>
      <c r="P165" s="99">
        <f t="shared" si="12"/>
        <v>2.5402350658348061E-2</v>
      </c>
      <c r="Q165" s="99">
        <f t="shared" si="12"/>
        <v>1.1352118550428392E-2</v>
      </c>
      <c r="R165" s="99">
        <f t="shared" si="12"/>
        <v>3.6575879019094204E-2</v>
      </c>
      <c r="S165" s="99">
        <f t="shared" si="12"/>
        <v>1.7382594991415479E-2</v>
      </c>
      <c r="T165" s="99">
        <f t="shared" si="12"/>
        <v>2.3232462169308743E-2</v>
      </c>
      <c r="U165" s="99">
        <f t="shared" si="12"/>
        <v>-3.0178014161794664E-3</v>
      </c>
      <c r="V165" s="99">
        <f t="shared" si="12"/>
        <v>3.0916640453702904E-2</v>
      </c>
      <c r="W165" s="99">
        <f t="shared" si="12"/>
        <v>3.22468691118174E-2</v>
      </c>
      <c r="X165" s="99"/>
    </row>
    <row r="166" spans="1:24">
      <c r="A166" s="101" t="s">
        <v>143</v>
      </c>
      <c r="B166" s="107">
        <v>78.817156191451772</v>
      </c>
      <c r="C166" s="107">
        <v>81.20327885755529</v>
      </c>
      <c r="D166" s="107">
        <v>80.829118411723002</v>
      </c>
      <c r="E166" s="107">
        <v>83.757329516598162</v>
      </c>
      <c r="F166" s="107">
        <v>85.299045818439637</v>
      </c>
      <c r="G166" s="107">
        <v>86.338716938660667</v>
      </c>
      <c r="H166" s="107">
        <v>88.402832547446849</v>
      </c>
      <c r="I166" s="107">
        <v>91.039780976479861</v>
      </c>
      <c r="J166" s="107">
        <v>92.274318085874199</v>
      </c>
      <c r="K166" s="107">
        <v>94.182380883834739</v>
      </c>
      <c r="M166" s="101" t="s">
        <v>143</v>
      </c>
      <c r="O166" s="99">
        <f t="shared" si="12"/>
        <v>3.0274153260585468E-2</v>
      </c>
      <c r="P166" s="99">
        <f t="shared" si="12"/>
        <v>-4.6077012048815202E-3</v>
      </c>
      <c r="Q166" s="99">
        <f t="shared" si="12"/>
        <v>3.6227181026020849E-2</v>
      </c>
      <c r="R166" s="99">
        <f t="shared" si="12"/>
        <v>1.8406941944536959E-2</v>
      </c>
      <c r="S166" s="99">
        <f t="shared" si="12"/>
        <v>1.2188543379887173E-2</v>
      </c>
      <c r="T166" s="99">
        <f t="shared" si="12"/>
        <v>2.3907184192378361E-2</v>
      </c>
      <c r="U166" s="99">
        <f t="shared" si="12"/>
        <v>2.9828777574720133E-2</v>
      </c>
      <c r="V166" s="99">
        <f t="shared" si="12"/>
        <v>1.3560413877898858E-2</v>
      </c>
      <c r="W166" s="99">
        <f t="shared" si="12"/>
        <v>2.0678156582905505E-2</v>
      </c>
      <c r="X166" s="99"/>
    </row>
    <row r="167" spans="1:24">
      <c r="A167" s="101" t="s">
        <v>144</v>
      </c>
      <c r="B167" s="107">
        <v>72.335483910471339</v>
      </c>
      <c r="C167" s="107">
        <v>72.584829111902636</v>
      </c>
      <c r="D167" s="107">
        <v>75.094800356632646</v>
      </c>
      <c r="E167" s="107">
        <v>76.915330182246379</v>
      </c>
      <c r="F167" s="107">
        <v>79.056248020878982</v>
      </c>
      <c r="G167" s="107">
        <v>80.760489403070721</v>
      </c>
      <c r="H167" s="107">
        <v>82.419901740060027</v>
      </c>
      <c r="I167" s="107">
        <v>84.02033602690922</v>
      </c>
      <c r="J167" s="107">
        <v>86.571273599900238</v>
      </c>
      <c r="K167" s="107">
        <v>88.701244203501972</v>
      </c>
      <c r="M167" s="101" t="s">
        <v>144</v>
      </c>
      <c r="O167" s="99">
        <f t="shared" si="12"/>
        <v>3.4470661969983052E-3</v>
      </c>
      <c r="P167" s="99">
        <f t="shared" si="12"/>
        <v>3.457983266531417E-2</v>
      </c>
      <c r="Q167" s="99">
        <f t="shared" si="12"/>
        <v>2.424308763014027E-2</v>
      </c>
      <c r="R167" s="99">
        <f t="shared" si="12"/>
        <v>2.7834735072446826E-2</v>
      </c>
      <c r="S167" s="99">
        <f t="shared" si="12"/>
        <v>2.1557326901494811E-2</v>
      </c>
      <c r="T167" s="99">
        <f t="shared" si="12"/>
        <v>2.0547328888849137E-2</v>
      </c>
      <c r="U167" s="99">
        <f t="shared" si="12"/>
        <v>1.9418056234727477E-2</v>
      </c>
      <c r="V167" s="99">
        <f t="shared" si="12"/>
        <v>3.0360954188210165E-2</v>
      </c>
      <c r="W167" s="99">
        <f t="shared" si="12"/>
        <v>2.4603664876707843E-2</v>
      </c>
      <c r="X167" s="99"/>
    </row>
    <row r="168" spans="1:24">
      <c r="A168" s="101" t="s">
        <v>145</v>
      </c>
      <c r="B168" s="107">
        <v>72.529780448514131</v>
      </c>
      <c r="C168" s="107">
        <v>76.340536327521193</v>
      </c>
      <c r="D168" s="107">
        <v>82.191071656058227</v>
      </c>
      <c r="E168" s="107">
        <v>82.646273011625553</v>
      </c>
      <c r="F168" s="107">
        <v>82.758602065602943</v>
      </c>
      <c r="G168" s="107">
        <v>83.778259753093579</v>
      </c>
      <c r="H168" s="107">
        <v>86.435424109792223</v>
      </c>
      <c r="I168" s="107">
        <v>87.507247788041482</v>
      </c>
      <c r="J168" s="107">
        <v>89.671443614228409</v>
      </c>
      <c r="K168" s="107">
        <v>92.217655616464114</v>
      </c>
      <c r="M168" s="101" t="s">
        <v>145</v>
      </c>
      <c r="O168" s="99">
        <f t="shared" si="12"/>
        <v>5.2540568238892638E-2</v>
      </c>
      <c r="P168" s="99">
        <f t="shared" si="12"/>
        <v>7.6637335942161711E-2</v>
      </c>
      <c r="Q168" s="99">
        <f t="shared" si="12"/>
        <v>5.5383309451444429E-3</v>
      </c>
      <c r="R168" s="99">
        <f t="shared" si="12"/>
        <v>1.3591545012754391E-3</v>
      </c>
      <c r="S168" s="99">
        <f t="shared" si="12"/>
        <v>1.232086649654085E-2</v>
      </c>
      <c r="T168" s="99">
        <f t="shared" si="12"/>
        <v>3.1716633462304911E-2</v>
      </c>
      <c r="U168" s="99">
        <f t="shared" si="12"/>
        <v>1.2400282514814842E-2</v>
      </c>
      <c r="V168" s="99">
        <f t="shared" si="12"/>
        <v>2.473161801898982E-2</v>
      </c>
      <c r="W168" s="99">
        <f t="shared" si="12"/>
        <v>2.8394903657285253E-2</v>
      </c>
      <c r="X168" s="99"/>
    </row>
    <row r="169" spans="1:24">
      <c r="A169" s="101" t="s">
        <v>146</v>
      </c>
      <c r="B169" s="107">
        <v>75.870718093974375</v>
      </c>
      <c r="C169" s="107">
        <v>79.82938570002878</v>
      </c>
      <c r="D169" s="107">
        <v>81.237290228922177</v>
      </c>
      <c r="E169" s="107">
        <v>83.109055141546349</v>
      </c>
      <c r="F169" s="107">
        <v>85.303947047786892</v>
      </c>
      <c r="G169" s="107">
        <v>87.293001912045895</v>
      </c>
      <c r="H169" s="107">
        <v>88.388413135750994</v>
      </c>
      <c r="I169" s="107">
        <v>89.851146689744695</v>
      </c>
      <c r="J169" s="107">
        <v>92.158373914884606</v>
      </c>
      <c r="K169" s="107">
        <v>92.527659574468089</v>
      </c>
      <c r="M169" s="101" t="s">
        <v>146</v>
      </c>
      <c r="O169" s="99">
        <f t="shared" si="12"/>
        <v>5.2176487919241232E-2</v>
      </c>
      <c r="P169" s="99">
        <f t="shared" si="12"/>
        <v>1.7636419428101568E-2</v>
      </c>
      <c r="Q169" s="99">
        <f t="shared" si="12"/>
        <v>2.3040710828114097E-2</v>
      </c>
      <c r="R169" s="99">
        <f t="shared" si="12"/>
        <v>2.6409780528756199E-2</v>
      </c>
      <c r="S169" s="99">
        <f t="shared" si="12"/>
        <v>2.3317266470034959E-2</v>
      </c>
      <c r="T169" s="99">
        <f t="shared" si="12"/>
        <v>1.2548671711494208E-2</v>
      </c>
      <c r="U169" s="99">
        <f t="shared" si="12"/>
        <v>1.6548928780372618E-2</v>
      </c>
      <c r="V169" s="99">
        <f t="shared" si="12"/>
        <v>2.5678328103109882E-2</v>
      </c>
      <c r="W169" s="99">
        <f t="shared" si="12"/>
        <v>4.0070765563262611E-3</v>
      </c>
      <c r="X169" s="99"/>
    </row>
    <row r="170" spans="1:24">
      <c r="A170" s="101" t="s">
        <v>147</v>
      </c>
      <c r="B170" s="107">
        <v>72.70699616372751</v>
      </c>
      <c r="C170" s="107">
        <v>75.344126550351106</v>
      </c>
      <c r="D170" s="107">
        <v>81.154068660788511</v>
      </c>
      <c r="E170" s="107">
        <v>81.035002485265849</v>
      </c>
      <c r="F170" s="107">
        <v>84.293405553042788</v>
      </c>
      <c r="G170" s="107">
        <v>85.470827654580106</v>
      </c>
      <c r="H170" s="107">
        <v>87.522482100093086</v>
      </c>
      <c r="I170" s="107">
        <v>87.711991017828538</v>
      </c>
      <c r="J170" s="107">
        <v>90.305047694382651</v>
      </c>
      <c r="K170" s="107">
        <v>92.093350589554433</v>
      </c>
      <c r="M170" s="101" t="s">
        <v>147</v>
      </c>
      <c r="O170" s="99">
        <f t="shared" si="12"/>
        <v>3.627065517443584E-2</v>
      </c>
      <c r="P170" s="99">
        <f t="shared" si="12"/>
        <v>7.7112077297156301E-2</v>
      </c>
      <c r="Q170" s="99">
        <f t="shared" si="12"/>
        <v>-1.467162121228216E-3</v>
      </c>
      <c r="R170" s="99">
        <f t="shared" si="12"/>
        <v>4.020982251921823E-2</v>
      </c>
      <c r="S170" s="99">
        <f t="shared" si="12"/>
        <v>1.3968140138749252E-2</v>
      </c>
      <c r="T170" s="99">
        <f t="shared" si="12"/>
        <v>2.400414857107136E-2</v>
      </c>
      <c r="U170" s="99">
        <f t="shared" si="12"/>
        <v>2.1652598645307553E-3</v>
      </c>
      <c r="V170" s="99">
        <f t="shared" si="12"/>
        <v>2.9563308807196487E-2</v>
      </c>
      <c r="W170" s="99">
        <f t="shared" si="12"/>
        <v>1.9802911806479528E-2</v>
      </c>
      <c r="X170" s="99"/>
    </row>
    <row r="171" spans="1:24">
      <c r="A171" s="101" t="s">
        <v>148</v>
      </c>
      <c r="B171" s="107">
        <v>70.84557089661422</v>
      </c>
      <c r="C171" s="107">
        <v>76.302483014643698</v>
      </c>
      <c r="D171" s="107">
        <v>77.791782362125204</v>
      </c>
      <c r="E171" s="107">
        <v>79.536085904916675</v>
      </c>
      <c r="F171" s="107">
        <v>82.139545884216886</v>
      </c>
      <c r="G171" s="107">
        <v>83.111018079042907</v>
      </c>
      <c r="H171" s="107">
        <v>86.020204772007133</v>
      </c>
      <c r="I171" s="107">
        <v>85.829999421261149</v>
      </c>
      <c r="J171" s="107">
        <v>89.291986093548772</v>
      </c>
      <c r="K171" s="107">
        <v>90.711614220125639</v>
      </c>
      <c r="M171" s="101" t="s">
        <v>148</v>
      </c>
      <c r="O171" s="99">
        <f t="shared" si="12"/>
        <v>7.7025451964990443E-2</v>
      </c>
      <c r="P171" s="99">
        <f t="shared" si="12"/>
        <v>1.9518360197998907E-2</v>
      </c>
      <c r="Q171" s="99">
        <f t="shared" si="12"/>
        <v>2.2422722424222608E-2</v>
      </c>
      <c r="R171" s="99">
        <f t="shared" si="12"/>
        <v>3.2733066377098163E-2</v>
      </c>
      <c r="S171" s="99">
        <f t="shared" si="12"/>
        <v>1.1827094785688219E-2</v>
      </c>
      <c r="T171" s="99">
        <f t="shared" si="12"/>
        <v>3.5003622386112987E-2</v>
      </c>
      <c r="U171" s="99">
        <f t="shared" si="12"/>
        <v>-2.2111706342726745E-3</v>
      </c>
      <c r="V171" s="99">
        <f t="shared" si="12"/>
        <v>4.0335392003160608E-2</v>
      </c>
      <c r="W171" s="99">
        <f t="shared" si="12"/>
        <v>1.5898718224159225E-2</v>
      </c>
      <c r="X171" s="99"/>
    </row>
    <row r="172" spans="1:24">
      <c r="A172" s="101" t="s">
        <v>149</v>
      </c>
      <c r="B172" s="107">
        <v>73.351740931977602</v>
      </c>
      <c r="C172" s="107">
        <v>75.206514987917132</v>
      </c>
      <c r="D172" s="107">
        <v>80.570610453203926</v>
      </c>
      <c r="E172" s="107">
        <v>80.477225431034157</v>
      </c>
      <c r="F172" s="107">
        <v>83.331845613925182</v>
      </c>
      <c r="G172" s="107">
        <v>85.036307800729816</v>
      </c>
      <c r="H172" s="107">
        <v>87.791148064962272</v>
      </c>
      <c r="I172" s="107">
        <v>89.020788394644896</v>
      </c>
      <c r="J172" s="107">
        <v>90.462552108876778</v>
      </c>
      <c r="K172" s="107">
        <v>94.111605813040129</v>
      </c>
      <c r="M172" s="101" t="s">
        <v>149</v>
      </c>
      <c r="O172" s="99">
        <f t="shared" si="12"/>
        <v>2.5286026376109438E-2</v>
      </c>
      <c r="P172" s="99">
        <f t="shared" si="12"/>
        <v>7.1324877454414848E-2</v>
      </c>
      <c r="Q172" s="99">
        <f t="shared" si="12"/>
        <v>-1.1590457319918812E-3</v>
      </c>
      <c r="R172" s="99">
        <f t="shared" si="12"/>
        <v>3.5471155567326607E-2</v>
      </c>
      <c r="S172" s="99">
        <f t="shared" si="12"/>
        <v>2.045391139782704E-2</v>
      </c>
      <c r="T172" s="99">
        <f t="shared" si="12"/>
        <v>3.2396047470546696E-2</v>
      </c>
      <c r="U172" s="99">
        <f t="shared" si="12"/>
        <v>1.40064272627205E-2</v>
      </c>
      <c r="V172" s="99">
        <f t="shared" si="12"/>
        <v>1.6195809318608756E-2</v>
      </c>
      <c r="W172" s="99">
        <f t="shared" si="12"/>
        <v>4.0337726706753951E-2</v>
      </c>
      <c r="X172" s="99"/>
    </row>
    <row r="173" spans="1:24">
      <c r="A173" s="101" t="s">
        <v>150</v>
      </c>
      <c r="B173" s="107">
        <v>77.617916055152349</v>
      </c>
      <c r="C173" s="107">
        <v>78.537441195614008</v>
      </c>
      <c r="D173" s="107"/>
      <c r="E173" s="107"/>
      <c r="F173" s="107"/>
      <c r="G173" s="107"/>
      <c r="H173" s="107"/>
      <c r="I173" s="107"/>
      <c r="J173" s="107"/>
      <c r="K173" s="107"/>
      <c r="M173" s="101" t="s">
        <v>150</v>
      </c>
      <c r="O173" s="99">
        <f t="shared" si="12"/>
        <v>1.184681562190204E-2</v>
      </c>
      <c r="P173" s="99"/>
      <c r="Q173" s="99"/>
      <c r="R173" s="99"/>
      <c r="S173" s="99"/>
      <c r="T173" s="99"/>
      <c r="U173" s="99"/>
      <c r="V173" s="99"/>
      <c r="W173" s="99"/>
      <c r="X173" s="99"/>
    </row>
    <row r="174" spans="1:24">
      <c r="A174" s="101" t="s">
        <v>151</v>
      </c>
      <c r="B174" s="107">
        <v>72.667468837204908</v>
      </c>
      <c r="C174" s="107">
        <v>76.320043103448285</v>
      </c>
      <c r="D174" s="107">
        <v>78.647035415837649</v>
      </c>
      <c r="E174" s="107">
        <v>82.85863288746134</v>
      </c>
      <c r="F174" s="107">
        <v>84.909387960286537</v>
      </c>
      <c r="G174" s="107">
        <v>85.007598385998008</v>
      </c>
      <c r="H174" s="107">
        <v>88.596644896408293</v>
      </c>
      <c r="I174" s="107">
        <v>91.679863504655259</v>
      </c>
      <c r="J174" s="107">
        <v>90.179496094903755</v>
      </c>
      <c r="K174" s="107">
        <v>93.420987390468056</v>
      </c>
      <c r="M174" s="101" t="s">
        <v>151</v>
      </c>
      <c r="O174" s="99">
        <f t="shared" si="12"/>
        <v>5.0264228611377026E-2</v>
      </c>
      <c r="P174" s="99">
        <f>D174/C174-1</f>
        <v>3.0489923980195233E-2</v>
      </c>
      <c r="Q174" s="99">
        <f t="shared" si="12"/>
        <v>5.3550619541541833E-2</v>
      </c>
      <c r="R174" s="99">
        <f t="shared" si="12"/>
        <v>2.4750047175054579E-2</v>
      </c>
      <c r="S174" s="99">
        <f t="shared" si="12"/>
        <v>1.156649789507469E-3</v>
      </c>
      <c r="T174" s="99">
        <f t="shared" si="12"/>
        <v>4.2220302403007892E-2</v>
      </c>
      <c r="U174" s="99">
        <f t="shared" si="12"/>
        <v>3.4800624920413359E-2</v>
      </c>
      <c r="V174" s="99">
        <f t="shared" si="12"/>
        <v>-1.6365288432997338E-2</v>
      </c>
      <c r="W174" s="99">
        <f t="shared" si="12"/>
        <v>3.594488144126462E-2</v>
      </c>
      <c r="X174" s="99"/>
    </row>
    <row r="175" spans="1:24">
      <c r="A175" s="101" t="s">
        <v>152</v>
      </c>
      <c r="B175" s="108">
        <v>77.897631614845963</v>
      </c>
      <c r="C175" s="108">
        <v>79.229224070539289</v>
      </c>
      <c r="D175" s="107">
        <v>83.669623680526357</v>
      </c>
      <c r="E175" s="107">
        <v>84.875559587955294</v>
      </c>
      <c r="F175" s="107">
        <v>88.327013062268833</v>
      </c>
      <c r="G175" s="107">
        <v>88.908877535909795</v>
      </c>
      <c r="H175" s="107">
        <v>92.303392416651818</v>
      </c>
      <c r="I175" s="107">
        <v>94.358033587855346</v>
      </c>
      <c r="J175" s="107">
        <v>98.49116057454421</v>
      </c>
      <c r="K175" s="107">
        <v>98.09878265199066</v>
      </c>
      <c r="M175" s="101" t="s">
        <v>152</v>
      </c>
      <c r="O175" s="109">
        <f t="shared" si="12"/>
        <v>1.7094132749467805E-2</v>
      </c>
      <c r="P175" s="109">
        <f t="shared" si="12"/>
        <v>5.604497156293875E-2</v>
      </c>
      <c r="Q175" s="99">
        <f t="shared" si="12"/>
        <v>1.4413067184735118E-2</v>
      </c>
      <c r="R175" s="99">
        <f t="shared" si="12"/>
        <v>4.0664868556617328E-2</v>
      </c>
      <c r="S175" s="99">
        <f t="shared" si="12"/>
        <v>6.5876163301339385E-3</v>
      </c>
      <c r="T175" s="99">
        <f t="shared" si="12"/>
        <v>3.8179706850657302E-2</v>
      </c>
      <c r="U175" s="99">
        <f t="shared" si="12"/>
        <v>2.2259649590439912E-2</v>
      </c>
      <c r="V175" s="99">
        <f t="shared" si="12"/>
        <v>4.3802597717772285E-2</v>
      </c>
      <c r="W175" s="99">
        <f t="shared" si="12"/>
        <v>-3.9838897243633653E-3</v>
      </c>
      <c r="X175" s="99"/>
    </row>
    <row r="176" spans="1:24">
      <c r="A176" s="101" t="s">
        <v>153</v>
      </c>
      <c r="B176" s="107">
        <v>78.573534015349068</v>
      </c>
      <c r="C176" s="107">
        <v>80.872134306845211</v>
      </c>
      <c r="D176" s="107"/>
      <c r="E176" s="107"/>
      <c r="F176" s="107"/>
      <c r="G176" s="107"/>
      <c r="H176" s="107"/>
      <c r="I176" s="107"/>
      <c r="J176" s="107"/>
      <c r="K176" s="107"/>
      <c r="M176" s="101" t="s">
        <v>153</v>
      </c>
      <c r="O176" s="99">
        <f t="shared" si="12"/>
        <v>2.9254128890869424E-2</v>
      </c>
      <c r="P176" s="99"/>
      <c r="Q176" s="99"/>
      <c r="R176" s="99"/>
      <c r="S176" s="99"/>
      <c r="T176" s="99"/>
      <c r="U176" s="99"/>
      <c r="V176" s="99"/>
      <c r="W176" s="99"/>
      <c r="X176" s="99"/>
    </row>
    <row r="177" spans="1:24">
      <c r="A177" s="101" t="s">
        <v>154</v>
      </c>
      <c r="B177" s="107">
        <v>73.043125442285969</v>
      </c>
      <c r="C177" s="107">
        <v>81.736696101162593</v>
      </c>
      <c r="D177" s="107">
        <v>85.80404376185291</v>
      </c>
      <c r="E177" s="107">
        <v>87.871093114330037</v>
      </c>
      <c r="F177" s="107">
        <v>90.579509071504802</v>
      </c>
      <c r="G177" s="107">
        <v>90.794037589112122</v>
      </c>
      <c r="H177" s="107">
        <v>94.12405766433011</v>
      </c>
      <c r="I177" s="107">
        <v>94.225816607228566</v>
      </c>
      <c r="J177" s="107">
        <v>98.405762173440735</v>
      </c>
      <c r="K177" s="107">
        <v>99.773508594539933</v>
      </c>
      <c r="M177" s="101" t="s">
        <v>154</v>
      </c>
      <c r="O177" s="99">
        <f t="shared" si="12"/>
        <v>0.11901969701099024</v>
      </c>
      <c r="P177" s="99">
        <f t="shared" si="12"/>
        <v>4.9761586346190212E-2</v>
      </c>
      <c r="Q177" s="99">
        <f t="shared" si="12"/>
        <v>2.4090348914256099E-2</v>
      </c>
      <c r="R177" s="99">
        <f t="shared" si="12"/>
        <v>3.0822604581131285E-2</v>
      </c>
      <c r="S177" s="99">
        <f t="shared" si="12"/>
        <v>2.3684000918791082E-3</v>
      </c>
      <c r="T177" s="99">
        <f t="shared" si="12"/>
        <v>3.667663828640344E-2</v>
      </c>
      <c r="U177" s="99">
        <f t="shared" si="12"/>
        <v>1.0811151306433509E-3</v>
      </c>
      <c r="V177" s="99">
        <f t="shared" si="12"/>
        <v>4.4360937551073398E-2</v>
      </c>
      <c r="W177" s="99">
        <f t="shared" si="12"/>
        <v>1.3899048093225952E-2</v>
      </c>
      <c r="X177" s="99"/>
    </row>
    <row r="178" spans="1:24">
      <c r="A178" s="101" t="s">
        <v>155</v>
      </c>
      <c r="B178" s="107">
        <v>70.405134425794202</v>
      </c>
      <c r="C178" s="107">
        <v>73.131240705269605</v>
      </c>
      <c r="D178" s="107">
        <v>78.789291290076321</v>
      </c>
      <c r="E178" s="107">
        <v>78.289279943050033</v>
      </c>
      <c r="F178" s="107">
        <v>81.039709434815748</v>
      </c>
      <c r="G178" s="107">
        <v>83.799797096748634</v>
      </c>
      <c r="H178" s="107">
        <v>84.433515740876658</v>
      </c>
      <c r="I178" s="107">
        <v>86.072536672178245</v>
      </c>
      <c r="J178" s="107">
        <v>90.646324361975985</v>
      </c>
      <c r="K178" s="107">
        <v>91.422246123790941</v>
      </c>
      <c r="M178" s="101" t="s">
        <v>155</v>
      </c>
      <c r="O178" s="99">
        <f t="shared" ref="O178:W184" si="13">C178/B178-1</f>
        <v>3.8720276606369897E-2</v>
      </c>
      <c r="P178" s="99">
        <f t="shared" si="13"/>
        <v>7.7368447878650715E-2</v>
      </c>
      <c r="Q178" s="99">
        <f t="shared" si="13"/>
        <v>-6.3461840922697244E-3</v>
      </c>
      <c r="R178" s="99">
        <f t="shared" si="13"/>
        <v>3.5131623304831328E-2</v>
      </c>
      <c r="S178" s="99">
        <f t="shared" si="13"/>
        <v>3.4058459503152116E-2</v>
      </c>
      <c r="T178" s="99">
        <f t="shared" si="13"/>
        <v>7.5622933000230042E-3</v>
      </c>
      <c r="U178" s="99">
        <f t="shared" si="13"/>
        <v>1.9411970672069234E-2</v>
      </c>
      <c r="V178" s="99">
        <f t="shared" si="13"/>
        <v>5.3138757920168977E-2</v>
      </c>
      <c r="W178" s="99">
        <f t="shared" si="13"/>
        <v>8.5598811344680392E-3</v>
      </c>
      <c r="X178" s="99"/>
    </row>
    <row r="179" spans="1:24">
      <c r="A179" s="101" t="s">
        <v>156</v>
      </c>
      <c r="B179" s="107">
        <v>77.048626723631642</v>
      </c>
      <c r="C179" s="107">
        <v>79.446780331612914</v>
      </c>
      <c r="D179" s="107">
        <v>82.24841081043941</v>
      </c>
      <c r="E179" s="107">
        <v>83.116328522080167</v>
      </c>
      <c r="F179" s="107">
        <v>85.018858804317986</v>
      </c>
      <c r="G179" s="107">
        <v>86.648118365932888</v>
      </c>
      <c r="H179" s="107">
        <v>88.866729808389152</v>
      </c>
      <c r="I179" s="107">
        <v>89.690739462176211</v>
      </c>
      <c r="J179" s="107">
        <v>91.936400233229293</v>
      </c>
      <c r="K179" s="107">
        <v>92.203127937210908</v>
      </c>
      <c r="M179" s="101" t="s">
        <v>156</v>
      </c>
      <c r="O179" s="99">
        <f t="shared" si="13"/>
        <v>3.1125195995812982E-2</v>
      </c>
      <c r="P179" s="99">
        <f t="shared" si="13"/>
        <v>3.5264241887870362E-2</v>
      </c>
      <c r="Q179" s="99">
        <f t="shared" si="13"/>
        <v>1.0552394910596785E-2</v>
      </c>
      <c r="R179" s="99">
        <f t="shared" si="13"/>
        <v>2.288997019078387E-2</v>
      </c>
      <c r="S179" s="99">
        <f t="shared" si="13"/>
        <v>1.9163507773785282E-2</v>
      </c>
      <c r="T179" s="99">
        <f t="shared" si="13"/>
        <v>2.5604842716683285E-2</v>
      </c>
      <c r="U179" s="99">
        <f t="shared" si="13"/>
        <v>9.2724201235236947E-3</v>
      </c>
      <c r="V179" s="99">
        <f t="shared" si="13"/>
        <v>2.5037822015059996E-2</v>
      </c>
      <c r="W179" s="99">
        <f t="shared" si="13"/>
        <v>2.9012197922146932E-3</v>
      </c>
      <c r="X179" s="99"/>
    </row>
    <row r="180" spans="1:24">
      <c r="A180" s="101" t="s">
        <v>157</v>
      </c>
      <c r="B180" s="107">
        <v>77.098768349698886</v>
      </c>
      <c r="C180" s="107">
        <v>78.86522854962891</v>
      </c>
      <c r="D180" s="107">
        <v>80.824445488622914</v>
      </c>
      <c r="E180" s="107">
        <v>81.009634142136719</v>
      </c>
      <c r="F180" s="107">
        <v>81.316072947179435</v>
      </c>
      <c r="G180" s="107">
        <v>85.120929835056842</v>
      </c>
      <c r="H180" s="107">
        <v>83.706741687286026</v>
      </c>
      <c r="I180" s="107">
        <v>86.132606066486701</v>
      </c>
      <c r="J180" s="107">
        <v>93.074232930907144</v>
      </c>
      <c r="K180" s="107">
        <v>92.5398354241688</v>
      </c>
      <c r="M180" s="101" t="s">
        <v>157</v>
      </c>
      <c r="O180" s="99">
        <f t="shared" si="13"/>
        <v>2.2911652646872893E-2</v>
      </c>
      <c r="P180" s="99">
        <f t="shared" si="13"/>
        <v>2.4842595083092833E-2</v>
      </c>
      <c r="Q180" s="99">
        <f t="shared" si="13"/>
        <v>2.2912455803965059E-3</v>
      </c>
      <c r="R180" s="99">
        <f t="shared" si="13"/>
        <v>3.7827452041698795E-3</v>
      </c>
      <c r="S180" s="99">
        <f t="shared" si="13"/>
        <v>4.6790957186888971E-2</v>
      </c>
      <c r="T180" s="99">
        <f t="shared" si="13"/>
        <v>-1.661387100107059E-2</v>
      </c>
      <c r="U180" s="99">
        <f t="shared" si="13"/>
        <v>2.898051375913413E-2</v>
      </c>
      <c r="V180" s="99">
        <f t="shared" si="13"/>
        <v>8.0592323644104402E-2</v>
      </c>
      <c r="W180" s="99">
        <f t="shared" si="13"/>
        <v>-5.7416267629629703E-3</v>
      </c>
      <c r="X180" s="99"/>
    </row>
    <row r="181" spans="1:24">
      <c r="A181" s="101" t="s">
        <v>158</v>
      </c>
      <c r="B181" s="107">
        <v>77.343252814436241</v>
      </c>
      <c r="C181" s="107">
        <v>81.170888856347929</v>
      </c>
      <c r="D181" s="107">
        <v>82.760130757717633</v>
      </c>
      <c r="E181" s="107">
        <v>85.218316429519817</v>
      </c>
      <c r="F181" s="107">
        <v>84.9043933340878</v>
      </c>
      <c r="G181" s="107">
        <v>85.937583328721416</v>
      </c>
      <c r="H181" s="107">
        <v>87.45225574218415</v>
      </c>
      <c r="I181" s="107">
        <v>91.173086115572701</v>
      </c>
      <c r="J181" s="107">
        <v>91.041180779957131</v>
      </c>
      <c r="K181" s="107">
        <v>91.629524405952964</v>
      </c>
      <c r="M181" s="101" t="s">
        <v>158</v>
      </c>
      <c r="O181" s="99">
        <f t="shared" si="13"/>
        <v>4.9488945740296719E-2</v>
      </c>
      <c r="P181" s="99">
        <f t="shared" si="13"/>
        <v>1.957896388423519E-2</v>
      </c>
      <c r="Q181" s="99">
        <f t="shared" si="13"/>
        <v>2.9702534895680532E-2</v>
      </c>
      <c r="R181" s="99">
        <f t="shared" si="13"/>
        <v>-3.6837514349588041E-3</v>
      </c>
      <c r="S181" s="99">
        <f t="shared" si="13"/>
        <v>1.2168863754413062E-2</v>
      </c>
      <c r="T181" s="99">
        <f t="shared" si="13"/>
        <v>1.7625261902803668E-2</v>
      </c>
      <c r="U181" s="99">
        <f t="shared" si="13"/>
        <v>4.2546991404748269E-2</v>
      </c>
      <c r="V181" s="99">
        <f t="shared" si="13"/>
        <v>-1.4467573846119741E-3</v>
      </c>
      <c r="W181" s="99">
        <f t="shared" si="13"/>
        <v>6.4623901069322809E-3</v>
      </c>
      <c r="X181" s="99"/>
    </row>
    <row r="182" spans="1:24">
      <c r="A182" s="101" t="s">
        <v>159</v>
      </c>
      <c r="B182" s="107">
        <v>73.995822207320245</v>
      </c>
      <c r="C182" s="107">
        <v>73.423886162158041</v>
      </c>
      <c r="D182" s="107">
        <v>75.982891274450978</v>
      </c>
      <c r="E182" s="107">
        <v>76.839301413181843</v>
      </c>
      <c r="F182" s="107">
        <v>85.058110554345831</v>
      </c>
      <c r="G182" s="107">
        <v>84.719737115676196</v>
      </c>
      <c r="H182" s="107">
        <v>82.791606972301807</v>
      </c>
      <c r="I182" s="107">
        <v>86.817082231567255</v>
      </c>
      <c r="J182" s="107">
        <v>83.592875690304624</v>
      </c>
      <c r="K182" s="107">
        <v>82.929191854601854</v>
      </c>
      <c r="M182" s="101" t="s">
        <v>159</v>
      </c>
      <c r="O182" s="99">
        <f t="shared" si="13"/>
        <v>-7.7293018457145202E-3</v>
      </c>
      <c r="P182" s="99">
        <f t="shared" si="13"/>
        <v>3.4852488012434124E-2</v>
      </c>
      <c r="Q182" s="99">
        <f t="shared" si="13"/>
        <v>1.1271091746660522E-2</v>
      </c>
      <c r="R182" s="99">
        <f t="shared" si="13"/>
        <v>0.10696100810403841</v>
      </c>
      <c r="S182" s="99">
        <f t="shared" si="13"/>
        <v>-3.9781443117460347E-3</v>
      </c>
      <c r="T182" s="99">
        <f t="shared" si="13"/>
        <v>-2.2758925004001451E-2</v>
      </c>
      <c r="U182" s="99">
        <f t="shared" si="13"/>
        <v>4.8621779507338037E-2</v>
      </c>
      <c r="V182" s="99">
        <f t="shared" si="13"/>
        <v>-3.7137927909886459E-2</v>
      </c>
      <c r="W182" s="99">
        <f t="shared" si="13"/>
        <v>-7.9394784570109289E-3</v>
      </c>
      <c r="X182" s="99"/>
    </row>
    <row r="183" spans="1:24">
      <c r="A183" s="102" t="s">
        <v>160</v>
      </c>
      <c r="B183" s="110">
        <v>74.211533067156395</v>
      </c>
      <c r="C183" s="110">
        <v>78.075436423045602</v>
      </c>
      <c r="D183" s="110">
        <v>79.267900440397824</v>
      </c>
      <c r="E183" s="110">
        <v>81.577819548778677</v>
      </c>
      <c r="F183" s="110">
        <v>83.593754892689603</v>
      </c>
      <c r="G183" s="110">
        <v>85.863389613956684</v>
      </c>
      <c r="H183" s="110">
        <v>87.371418584807714</v>
      </c>
      <c r="I183" s="110">
        <v>88.613516798876759</v>
      </c>
      <c r="J183" s="110">
        <v>90.351979634392094</v>
      </c>
      <c r="K183" s="110">
        <v>91.569356701359965</v>
      </c>
      <c r="M183" s="102" t="s">
        <v>160</v>
      </c>
      <c r="N183" s="14"/>
      <c r="O183" s="103">
        <f t="shared" si="13"/>
        <v>5.2066076473486156E-2</v>
      </c>
      <c r="P183" s="103">
        <f t="shared" si="13"/>
        <v>1.527322896910821E-2</v>
      </c>
      <c r="Q183" s="103">
        <f t="shared" si="13"/>
        <v>2.9140662179108601E-2</v>
      </c>
      <c r="R183" s="103">
        <f t="shared" si="13"/>
        <v>2.4711807143920073E-2</v>
      </c>
      <c r="S183" s="103">
        <f t="shared" si="13"/>
        <v>2.7150768908283274E-2</v>
      </c>
      <c r="T183" s="103">
        <f t="shared" si="13"/>
        <v>1.7563119481203371E-2</v>
      </c>
      <c r="U183" s="103">
        <f t="shared" si="13"/>
        <v>1.4216299039066183E-2</v>
      </c>
      <c r="V183" s="103">
        <f t="shared" si="13"/>
        <v>1.9618483706735912E-2</v>
      </c>
      <c r="W183" s="103">
        <f t="shared" si="13"/>
        <v>1.3473717697099374E-2</v>
      </c>
      <c r="X183" s="99"/>
    </row>
    <row r="184" spans="1:24">
      <c r="A184" s="105" t="s">
        <v>125</v>
      </c>
      <c r="B184" s="107">
        <v>75.734829738750676</v>
      </c>
      <c r="C184" s="107">
        <v>78.898175400018218</v>
      </c>
      <c r="D184" s="107">
        <v>81.761592959826118</v>
      </c>
      <c r="E184" s="107">
        <v>83.200480790595591</v>
      </c>
      <c r="F184" s="107">
        <v>85.591602183138747</v>
      </c>
      <c r="G184" s="107">
        <v>86.899808312604591</v>
      </c>
      <c r="H184" s="107">
        <v>88.847555844951131</v>
      </c>
      <c r="I184" s="107">
        <v>90.287588372066708</v>
      </c>
      <c r="J184" s="107">
        <v>92.563427884112741</v>
      </c>
      <c r="K184" s="107">
        <v>93.680039915857449</v>
      </c>
      <c r="M184" s="105" t="s">
        <v>125</v>
      </c>
      <c r="O184" s="99">
        <f t="shared" si="13"/>
        <v>4.1768703675436836E-2</v>
      </c>
      <c r="P184" s="99">
        <f t="shared" si="13"/>
        <v>3.6292570078968467E-2</v>
      </c>
      <c r="Q184" s="99">
        <f t="shared" si="13"/>
        <v>1.7598578729703496E-2</v>
      </c>
      <c r="R184" s="99">
        <f t="shared" si="13"/>
        <v>2.8739273737627524E-2</v>
      </c>
      <c r="S184" s="99">
        <f t="shared" si="13"/>
        <v>1.5284281355858909E-2</v>
      </c>
      <c r="T184" s="99">
        <f t="shared" si="13"/>
        <v>2.2413714945606289E-2</v>
      </c>
      <c r="U184" s="99">
        <f t="shared" si="13"/>
        <v>1.62079025519688E-2</v>
      </c>
      <c r="V184" s="99">
        <f t="shared" si="13"/>
        <v>2.5206559983278254E-2</v>
      </c>
      <c r="W184" s="99">
        <f t="shared" si="13"/>
        <v>1.2063209598748736E-2</v>
      </c>
      <c r="X184" s="99"/>
    </row>
    <row r="185" spans="1:24">
      <c r="U185" s="99"/>
      <c r="V185" s="99"/>
      <c r="W185" s="99"/>
    </row>
  </sheetData>
  <pageMargins left="0.7" right="0.7" top="0.75" bottom="0.75" header="0.3" footer="0.3"/>
  <pageSetup paperSize="9"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5"/>
  <sheetViews>
    <sheetView workbookViewId="0">
      <selection activeCell="A45" sqref="A45"/>
    </sheetView>
  </sheetViews>
  <sheetFormatPr defaultRowHeight="15"/>
  <cols>
    <col min="1" max="1" width="54.42578125" customWidth="1"/>
    <col min="2" max="3" width="13.28515625" customWidth="1"/>
    <col min="4" max="4" width="12.28515625" customWidth="1"/>
    <col min="5" max="5" width="10.7109375" customWidth="1"/>
    <col min="6" max="6" width="12" customWidth="1"/>
    <col min="7" max="7" width="10.5703125" bestFit="1" customWidth="1"/>
    <col min="13" max="13" width="10.140625" customWidth="1"/>
    <col min="14" max="14" width="11.85546875" customWidth="1"/>
    <col min="15" max="15" width="11.42578125" customWidth="1"/>
    <col min="16" max="16" width="40" customWidth="1"/>
    <col min="17" max="17" width="27.85546875" customWidth="1"/>
    <col min="18" max="18" width="19.7109375" customWidth="1"/>
    <col min="19" max="19" width="15.140625" customWidth="1"/>
  </cols>
  <sheetData>
    <row r="2" spans="1:19">
      <c r="A2" s="14" t="s">
        <v>179</v>
      </c>
      <c r="E2" t="s">
        <v>180</v>
      </c>
      <c r="I2" s="93" t="s">
        <v>181</v>
      </c>
    </row>
    <row r="3" spans="1:19">
      <c r="A3" t="s">
        <v>182</v>
      </c>
      <c r="C3" s="35">
        <v>303000</v>
      </c>
    </row>
    <row r="4" spans="1:19">
      <c r="A4" t="s">
        <v>183</v>
      </c>
      <c r="C4" s="35">
        <v>31000</v>
      </c>
    </row>
    <row r="5" spans="1:19">
      <c r="A5" t="s">
        <v>184</v>
      </c>
      <c r="C5" s="45">
        <f>11000*66*52/1000</f>
        <v>37752</v>
      </c>
      <c r="E5" t="s">
        <v>185</v>
      </c>
    </row>
    <row r="6" spans="1:19">
      <c r="A6" t="s">
        <v>125</v>
      </c>
      <c r="C6" s="35">
        <f>SUM(C3:C5)</f>
        <v>371752</v>
      </c>
      <c r="E6" t="s">
        <v>186</v>
      </c>
    </row>
    <row r="7" spans="1:19">
      <c r="P7" s="91" t="s">
        <v>187</v>
      </c>
    </row>
    <row r="8" spans="1:19">
      <c r="A8" s="14" t="s">
        <v>188</v>
      </c>
      <c r="B8" s="14" t="s">
        <v>189</v>
      </c>
      <c r="C8" s="14" t="s">
        <v>190</v>
      </c>
      <c r="D8" s="14" t="s">
        <v>191</v>
      </c>
      <c r="E8" s="114" t="s">
        <v>192</v>
      </c>
      <c r="F8" t="s">
        <v>193</v>
      </c>
      <c r="Q8" s="91" t="s">
        <v>194</v>
      </c>
      <c r="R8" s="91" t="s">
        <v>195</v>
      </c>
      <c r="S8" s="91" t="s">
        <v>196</v>
      </c>
    </row>
    <row r="9" spans="1:19">
      <c r="A9" t="s">
        <v>197</v>
      </c>
      <c r="B9" s="35">
        <v>22000</v>
      </c>
      <c r="C9">
        <f>ROUND((B9*(29300-C$11)/SUM($B$9:$B$10))/100,0)*100</f>
        <v>9700</v>
      </c>
      <c r="D9" s="35">
        <f>C9*16.22*40*52/1000</f>
        <v>327254.71999999997</v>
      </c>
      <c r="E9" s="54">
        <f>C9*$C$3/$C$12</f>
        <v>100310.58020477816</v>
      </c>
      <c r="P9" s="6" t="s">
        <v>198</v>
      </c>
      <c r="Q9" s="35">
        <v>22000</v>
      </c>
      <c r="R9">
        <v>16.649999999999999</v>
      </c>
      <c r="S9" s="138" t="s">
        <v>199</v>
      </c>
    </row>
    <row r="10" spans="1:19">
      <c r="A10" t="s">
        <v>200</v>
      </c>
      <c r="B10" s="35">
        <v>24000</v>
      </c>
      <c r="C10">
        <f>ROUND((B10*(29300-C$11)/SUM($B$9:$B$10))/100,0)*100</f>
        <v>10600</v>
      </c>
      <c r="D10" s="35">
        <f>C10*16.65*40*52/1000</f>
        <v>367099.19999999995</v>
      </c>
      <c r="E10" s="54">
        <f>C10*$C$3/$C$12</f>
        <v>109617.74744027304</v>
      </c>
      <c r="P10" s="6" t="s">
        <v>200</v>
      </c>
      <c r="Q10" s="35">
        <v>24000</v>
      </c>
      <c r="R10">
        <v>16.22</v>
      </c>
      <c r="S10" s="138"/>
    </row>
    <row r="11" spans="1:19">
      <c r="A11" t="s">
        <v>201</v>
      </c>
      <c r="B11" s="45">
        <v>9000</v>
      </c>
      <c r="C11" s="14">
        <v>9000</v>
      </c>
      <c r="D11" s="45">
        <f>C11*17.72*40*52/1000</f>
        <v>331718.40000000002</v>
      </c>
      <c r="E11" s="67">
        <f>C11*$C$3/$C$12</f>
        <v>93071.672354948809</v>
      </c>
      <c r="G11" t="s">
        <v>202</v>
      </c>
      <c r="P11" s="6" t="s">
        <v>201</v>
      </c>
      <c r="Q11" s="35">
        <v>9000</v>
      </c>
      <c r="R11">
        <v>17.72</v>
      </c>
      <c r="S11" s="138"/>
    </row>
    <row r="12" spans="1:19">
      <c r="B12" s="37">
        <f>SUM(B9:B11)</f>
        <v>55000</v>
      </c>
      <c r="C12" s="37">
        <f>SUM(C9:C11)</f>
        <v>29300</v>
      </c>
      <c r="D12" s="37">
        <f>SUM(D9:D11)</f>
        <v>1026072.32</v>
      </c>
      <c r="E12" s="54">
        <f>SUM(E9:E11)</f>
        <v>303000</v>
      </c>
    </row>
    <row r="13" spans="1:19">
      <c r="A13" t="s">
        <v>64</v>
      </c>
      <c r="D13" s="99">
        <f>C6/D12</f>
        <v>0.36230584604406835</v>
      </c>
      <c r="F13" s="99"/>
      <c r="G13" s="99"/>
    </row>
    <row r="14" spans="1:19">
      <c r="A14" t="s">
        <v>203</v>
      </c>
      <c r="B14" s="99">
        <v>3.3000000000000002E-2</v>
      </c>
      <c r="C14" t="s">
        <v>204</v>
      </c>
      <c r="D14" s="33">
        <f>J16</f>
        <v>3.0800000000000004E-2</v>
      </c>
      <c r="E14" s="107">
        <f>D14*D12</f>
        <v>31603.027456000003</v>
      </c>
      <c r="F14" t="s">
        <v>205</v>
      </c>
      <c r="G14" s="115">
        <f>E14*C3/C6</f>
        <v>25758.347821041989</v>
      </c>
      <c r="I14" s="116">
        <v>0.8</v>
      </c>
      <c r="J14" s="33">
        <v>3.3000000000000002E-2</v>
      </c>
    </row>
    <row r="15" spans="1:19">
      <c r="A15" t="s">
        <v>206</v>
      </c>
      <c r="C15" s="99"/>
      <c r="E15" s="35">
        <f>ROUND((C3-G14)/1000,0)*1000</f>
        <v>277000</v>
      </c>
      <c r="I15" s="116">
        <v>0.2</v>
      </c>
      <c r="J15" s="99">
        <f>OtherWagesIncreases17</f>
        <v>2.1999999999999999E-2</v>
      </c>
    </row>
    <row r="16" spans="1:19">
      <c r="C16" s="99"/>
      <c r="E16" s="35"/>
      <c r="I16" t="s">
        <v>207</v>
      </c>
      <c r="J16" s="33">
        <f t="array" ref="J16">SUM(I14:I15*J14:J15)</f>
        <v>3.0800000000000004E-2</v>
      </c>
    </row>
    <row r="18" spans="1:18">
      <c r="A18" s="91" t="s">
        <v>208</v>
      </c>
    </row>
    <row r="19" spans="1:18">
      <c r="A19" t="s">
        <v>209</v>
      </c>
      <c r="B19" s="92" t="s">
        <v>41</v>
      </c>
      <c r="C19" s="35">
        <f>-(313-27)*1000</f>
        <v>-286000</v>
      </c>
      <c r="E19" t="s">
        <v>210</v>
      </c>
    </row>
    <row r="20" spans="1:18">
      <c r="B20" s="92"/>
      <c r="C20" s="35"/>
    </row>
    <row r="21" spans="1:18">
      <c r="A21" t="s">
        <v>211</v>
      </c>
      <c r="E21" s="93" t="s">
        <v>212</v>
      </c>
      <c r="M21" s="139" t="s">
        <v>213</v>
      </c>
      <c r="N21" s="139"/>
      <c r="O21" s="116">
        <v>0.06</v>
      </c>
    </row>
    <row r="22" spans="1:18">
      <c r="B22" s="140" t="s">
        <v>214</v>
      </c>
      <c r="C22" s="141"/>
      <c r="D22" s="142"/>
      <c r="E22" s="143" t="s">
        <v>215</v>
      </c>
      <c r="F22" s="144"/>
      <c r="G22" s="145"/>
      <c r="H22" s="143" t="s">
        <v>216</v>
      </c>
      <c r="I22" s="144"/>
      <c r="J22" s="145"/>
      <c r="K22" s="143" t="s">
        <v>217</v>
      </c>
      <c r="L22" s="145"/>
      <c r="M22" s="146" t="s">
        <v>218</v>
      </c>
      <c r="N22" s="146"/>
      <c r="O22" s="146"/>
    </row>
    <row r="23" spans="1:18">
      <c r="A23" s="117" t="s">
        <v>219</v>
      </c>
      <c r="B23" s="118">
        <v>42736</v>
      </c>
      <c r="C23" s="119">
        <v>42767</v>
      </c>
      <c r="D23" s="120" t="s">
        <v>220</v>
      </c>
      <c r="E23" s="118">
        <v>42736</v>
      </c>
      <c r="F23" s="119">
        <v>42767</v>
      </c>
      <c r="G23" s="120" t="s">
        <v>220</v>
      </c>
      <c r="H23" s="118">
        <v>42736</v>
      </c>
      <c r="I23" s="119">
        <v>42767</v>
      </c>
      <c r="J23" s="120" t="s">
        <v>221</v>
      </c>
      <c r="K23" s="118">
        <v>42736</v>
      </c>
      <c r="L23" s="120">
        <v>42767</v>
      </c>
      <c r="M23" s="121" t="s">
        <v>222</v>
      </c>
      <c r="N23" s="113" t="s">
        <v>223</v>
      </c>
      <c r="O23" s="122" t="s">
        <v>224</v>
      </c>
      <c r="P23" s="123"/>
      <c r="Q23" s="9"/>
      <c r="R23" s="9"/>
    </row>
    <row r="24" spans="1:18">
      <c r="A24" s="101" t="s">
        <v>139</v>
      </c>
      <c r="B24" s="124">
        <v>254814.92800000001</v>
      </c>
      <c r="C24" s="125">
        <v>279.149</v>
      </c>
      <c r="D24" s="126">
        <f>C24-B24</f>
        <v>-254535.77900000001</v>
      </c>
      <c r="E24" s="124">
        <v>625963.3600000001</v>
      </c>
      <c r="F24" s="125">
        <v>934145.22600000002</v>
      </c>
      <c r="G24" s="126">
        <f>F24-E24</f>
        <v>308181.86599999992</v>
      </c>
      <c r="H24" s="124">
        <v>7239.3550000000005</v>
      </c>
      <c r="I24" s="125">
        <v>7735.7380000000003</v>
      </c>
      <c r="J24" s="127">
        <f>(12/7)*H24/B24</f>
        <v>4.8703280276981481E-2</v>
      </c>
      <c r="K24" s="124">
        <v>24732.3</v>
      </c>
      <c r="L24" s="126">
        <v>28265.95</v>
      </c>
      <c r="M24" s="124">
        <f>J24*D24</f>
        <v>-12396.727385156817</v>
      </c>
      <c r="N24" s="125">
        <f>$O$21*G24</f>
        <v>18490.911959999994</v>
      </c>
      <c r="O24" s="126">
        <f>ROUND(SUM(M24:N24)/100,0)*100</f>
        <v>6100</v>
      </c>
      <c r="P24" s="125"/>
      <c r="Q24" s="125"/>
      <c r="R24" s="104"/>
    </row>
    <row r="25" spans="1:18">
      <c r="A25" s="101" t="s">
        <v>140</v>
      </c>
      <c r="B25" s="124">
        <v>152200</v>
      </c>
      <c r="C25" s="125">
        <v>0</v>
      </c>
      <c r="D25" s="126">
        <f t="shared" ref="D25:D43" si="0">C25-B25</f>
        <v>-152200</v>
      </c>
      <c r="E25" s="124">
        <v>116703.04501999999</v>
      </c>
      <c r="F25" s="125">
        <v>270038.74056999997</v>
      </c>
      <c r="G25" s="126">
        <f t="shared" ref="G25:G43" si="1">F25-E25</f>
        <v>153335.69554999997</v>
      </c>
      <c r="H25" s="124">
        <v>3589.2715100000005</v>
      </c>
      <c r="I25" s="125">
        <v>3838.7128900000007</v>
      </c>
      <c r="J25" s="127">
        <f t="shared" ref="J25:J44" si="2">(12/7)*H25/B25</f>
        <v>4.0427311920405481E-2</v>
      </c>
      <c r="K25" s="124">
        <v>4438.0366899999999</v>
      </c>
      <c r="L25" s="126">
        <v>5492.0715300000002</v>
      </c>
      <c r="M25" s="124">
        <f t="shared" ref="M25:M44" si="3">J25*D25</f>
        <v>-6153.0368742857145</v>
      </c>
      <c r="N25" s="125">
        <f t="shared" ref="N25:N44" si="4">$O$21*G25</f>
        <v>9200.1417329999986</v>
      </c>
      <c r="O25" s="126">
        <f t="shared" ref="O25:O43" si="5">ROUND(SUM(M25:N25)/100,0)*100</f>
        <v>3000</v>
      </c>
      <c r="P25" s="125"/>
      <c r="Q25" s="125"/>
      <c r="R25" s="104"/>
    </row>
    <row r="26" spans="1:18">
      <c r="A26" s="101" t="s">
        <v>141</v>
      </c>
      <c r="B26" s="124">
        <v>145985</v>
      </c>
      <c r="C26" s="125">
        <v>0</v>
      </c>
      <c r="D26" s="126">
        <f t="shared" si="0"/>
        <v>-145985</v>
      </c>
      <c r="E26" s="124">
        <v>318078</v>
      </c>
      <c r="F26" s="125">
        <v>548586</v>
      </c>
      <c r="G26" s="126">
        <f t="shared" si="1"/>
        <v>230508</v>
      </c>
      <c r="H26" s="124">
        <v>3776</v>
      </c>
      <c r="I26" s="125">
        <v>4055</v>
      </c>
      <c r="J26" s="127">
        <f t="shared" si="2"/>
        <v>4.4341150509592468E-2</v>
      </c>
      <c r="K26" s="124">
        <v>8623</v>
      </c>
      <c r="L26" s="126">
        <v>10446</v>
      </c>
      <c r="M26" s="124">
        <f t="shared" si="3"/>
        <v>-6473.1428571428569</v>
      </c>
      <c r="N26" s="125">
        <f t="shared" si="4"/>
        <v>13830.48</v>
      </c>
      <c r="O26" s="126">
        <f t="shared" si="5"/>
        <v>7400</v>
      </c>
      <c r="P26" s="125"/>
      <c r="Q26" s="125"/>
      <c r="R26" s="104"/>
    </row>
    <row r="27" spans="1:18">
      <c r="A27" s="101" t="s">
        <v>142</v>
      </c>
      <c r="B27" s="124">
        <v>277628.16025000002</v>
      </c>
      <c r="C27" s="125">
        <v>628.16</v>
      </c>
      <c r="D27" s="126">
        <f t="shared" si="0"/>
        <v>-277000.00025000004</v>
      </c>
      <c r="E27" s="124">
        <v>81449.972809999948</v>
      </c>
      <c r="F27" s="125">
        <v>422843.30880999996</v>
      </c>
      <c r="G27" s="126">
        <f t="shared" si="1"/>
        <v>341393.33600000001</v>
      </c>
      <c r="H27" s="124">
        <v>7892.6231600000001</v>
      </c>
      <c r="I27" s="125">
        <v>8401.13616</v>
      </c>
      <c r="J27" s="127">
        <f t="shared" si="2"/>
        <v>4.8735009875240383E-2</v>
      </c>
      <c r="K27" s="124">
        <v>3734.2483399999996</v>
      </c>
      <c r="L27" s="126">
        <v>4199.4863399999995</v>
      </c>
      <c r="M27" s="124">
        <f t="shared" si="3"/>
        <v>-13499.597747625341</v>
      </c>
      <c r="N27" s="125">
        <f t="shared" si="4"/>
        <v>20483.600159999998</v>
      </c>
      <c r="O27" s="126">
        <f t="shared" si="5"/>
        <v>7000</v>
      </c>
      <c r="P27" s="125"/>
      <c r="Q27" s="125"/>
      <c r="R27" s="104"/>
    </row>
    <row r="28" spans="1:18">
      <c r="A28" s="101" t="s">
        <v>143</v>
      </c>
      <c r="B28" s="124">
        <v>287500</v>
      </c>
      <c r="C28" s="125">
        <v>0</v>
      </c>
      <c r="D28" s="126">
        <f t="shared" si="0"/>
        <v>-287500</v>
      </c>
      <c r="E28" s="124">
        <v>288923</v>
      </c>
      <c r="F28" s="125">
        <v>585165</v>
      </c>
      <c r="G28" s="126">
        <f t="shared" si="1"/>
        <v>296242</v>
      </c>
      <c r="H28" s="124">
        <v>7345</v>
      </c>
      <c r="I28" s="125">
        <v>7860</v>
      </c>
      <c r="J28" s="127">
        <f t="shared" si="2"/>
        <v>4.3796273291925467E-2</v>
      </c>
      <c r="K28" s="124">
        <v>10586</v>
      </c>
      <c r="L28" s="126">
        <v>12098</v>
      </c>
      <c r="M28" s="124">
        <f t="shared" si="3"/>
        <v>-12591.428571428572</v>
      </c>
      <c r="N28" s="125">
        <f t="shared" si="4"/>
        <v>17774.52</v>
      </c>
      <c r="O28" s="126">
        <f t="shared" si="5"/>
        <v>5200</v>
      </c>
      <c r="P28" s="125"/>
      <c r="Q28" s="125"/>
      <c r="R28" s="104"/>
    </row>
    <row r="29" spans="1:18">
      <c r="A29" s="101" t="s">
        <v>225</v>
      </c>
      <c r="B29" s="124">
        <v>42500</v>
      </c>
      <c r="C29" s="125">
        <v>0</v>
      </c>
      <c r="D29" s="126">
        <f t="shared" si="0"/>
        <v>-42500</v>
      </c>
      <c r="E29" s="124">
        <v>88814.963280000011</v>
      </c>
      <c r="F29" s="125">
        <v>136506.99625999999</v>
      </c>
      <c r="G29" s="126">
        <f t="shared" si="1"/>
        <v>47692.032979999974</v>
      </c>
      <c r="H29" s="124">
        <v>1147.5554799999998</v>
      </c>
      <c r="I29" s="125">
        <v>777.17423999999983</v>
      </c>
      <c r="J29" s="127">
        <f t="shared" si="2"/>
        <v>4.6287952134453768E-2</v>
      </c>
      <c r="K29" s="124">
        <v>3183.9650000000001</v>
      </c>
      <c r="L29" s="126">
        <v>3183.9650000000001</v>
      </c>
      <c r="M29" s="124">
        <f t="shared" si="3"/>
        <v>-1967.2379657142851</v>
      </c>
      <c r="N29" s="125">
        <f t="shared" si="4"/>
        <v>2861.5219787999986</v>
      </c>
      <c r="O29" s="126">
        <f t="shared" si="5"/>
        <v>900</v>
      </c>
      <c r="P29" s="125"/>
      <c r="Q29" s="125"/>
      <c r="R29" s="104"/>
    </row>
    <row r="30" spans="1:18">
      <c r="A30" s="101" t="s">
        <v>145</v>
      </c>
      <c r="B30" s="124">
        <v>70479</v>
      </c>
      <c r="C30" s="125">
        <v>479</v>
      </c>
      <c r="D30" s="126">
        <f t="shared" si="0"/>
        <v>-70000</v>
      </c>
      <c r="E30" s="124">
        <v>89556</v>
      </c>
      <c r="F30" s="125">
        <v>169293</v>
      </c>
      <c r="G30" s="126">
        <f t="shared" si="1"/>
        <v>79737</v>
      </c>
      <c r="H30" s="124">
        <v>2119</v>
      </c>
      <c r="I30" s="125">
        <v>2257</v>
      </c>
      <c r="J30" s="127">
        <f t="shared" si="2"/>
        <v>5.1541188560726293E-2</v>
      </c>
      <c r="K30" s="124">
        <v>3795</v>
      </c>
      <c r="L30" s="126">
        <v>4268</v>
      </c>
      <c r="M30" s="124">
        <f t="shared" si="3"/>
        <v>-3607.8831992508403</v>
      </c>
      <c r="N30" s="125">
        <f t="shared" si="4"/>
        <v>4784.22</v>
      </c>
      <c r="O30" s="126">
        <f t="shared" si="5"/>
        <v>1200</v>
      </c>
      <c r="P30" s="125"/>
      <c r="Q30" s="125"/>
      <c r="R30" s="104"/>
    </row>
    <row r="31" spans="1:18">
      <c r="A31" s="101" t="s">
        <v>146</v>
      </c>
      <c r="B31" s="124">
        <v>49431</v>
      </c>
      <c r="C31" s="125">
        <v>3866</v>
      </c>
      <c r="D31" s="126">
        <f t="shared" si="0"/>
        <v>-45565</v>
      </c>
      <c r="E31" s="124">
        <v>83206</v>
      </c>
      <c r="F31" s="125">
        <v>133321</v>
      </c>
      <c r="G31" s="126">
        <f t="shared" si="1"/>
        <v>50115</v>
      </c>
      <c r="H31" s="124">
        <v>1307</v>
      </c>
      <c r="I31" s="125">
        <v>1419</v>
      </c>
      <c r="J31" s="127">
        <f t="shared" si="2"/>
        <v>4.5327252707236927E-2</v>
      </c>
      <c r="K31" s="124">
        <v>1843</v>
      </c>
      <c r="L31" s="126">
        <v>2095</v>
      </c>
      <c r="M31" s="124">
        <f t="shared" si="3"/>
        <v>-2065.3362696052504</v>
      </c>
      <c r="N31" s="125">
        <f t="shared" si="4"/>
        <v>3006.9</v>
      </c>
      <c r="O31" s="126">
        <f t="shared" si="5"/>
        <v>900</v>
      </c>
      <c r="P31" s="125"/>
      <c r="Q31" s="125"/>
      <c r="R31" s="104"/>
    </row>
    <row r="32" spans="1:18">
      <c r="A32" s="101" t="s">
        <v>147</v>
      </c>
      <c r="B32" s="124">
        <v>57547</v>
      </c>
      <c r="C32" s="125">
        <v>777</v>
      </c>
      <c r="D32" s="126">
        <f t="shared" si="0"/>
        <v>-56770</v>
      </c>
      <c r="E32" s="124">
        <v>140744</v>
      </c>
      <c r="F32" s="125">
        <v>200012</v>
      </c>
      <c r="G32" s="126">
        <f t="shared" si="1"/>
        <v>59268</v>
      </c>
      <c r="H32" s="124">
        <v>1506</v>
      </c>
      <c r="I32" s="125">
        <v>1696</v>
      </c>
      <c r="J32" s="127">
        <f t="shared" si="2"/>
        <v>4.4862708494174952E-2</v>
      </c>
      <c r="K32" s="124">
        <v>5780</v>
      </c>
      <c r="L32" s="126">
        <v>5666</v>
      </c>
      <c r="M32" s="124">
        <f t="shared" si="3"/>
        <v>-2546.8559612143122</v>
      </c>
      <c r="N32" s="125">
        <f t="shared" si="4"/>
        <v>3556.08</v>
      </c>
      <c r="O32" s="126">
        <f t="shared" si="5"/>
        <v>1000</v>
      </c>
      <c r="P32" s="125"/>
      <c r="Q32" s="125"/>
      <c r="R32" s="104"/>
    </row>
    <row r="33" spans="1:18">
      <c r="A33" s="101" t="s">
        <v>148</v>
      </c>
      <c r="B33" s="124">
        <v>41828.566019999998</v>
      </c>
      <c r="C33" s="125">
        <v>7308.59717</v>
      </c>
      <c r="D33" s="126">
        <f t="shared" si="0"/>
        <v>-34519.968849999997</v>
      </c>
      <c r="E33" s="124">
        <v>100091.73773000001</v>
      </c>
      <c r="F33" s="125">
        <v>156693.60098000002</v>
      </c>
      <c r="G33" s="126">
        <f t="shared" si="1"/>
        <v>56601.863250000009</v>
      </c>
      <c r="H33" s="124">
        <v>1527.3903299999999</v>
      </c>
      <c r="I33" s="125">
        <v>1633.11349</v>
      </c>
      <c r="J33" s="127">
        <f t="shared" si="2"/>
        <v>6.2597972438385371E-2</v>
      </c>
      <c r="K33" s="124">
        <v>4020.1818800000005</v>
      </c>
      <c r="L33" s="126">
        <v>4599.0707600000005</v>
      </c>
      <c r="M33" s="124">
        <f t="shared" si="3"/>
        <v>-2160.8800586462212</v>
      </c>
      <c r="N33" s="125">
        <f t="shared" si="4"/>
        <v>3396.1117950000003</v>
      </c>
      <c r="O33" s="126">
        <f t="shared" si="5"/>
        <v>1200</v>
      </c>
      <c r="P33" s="125"/>
      <c r="Q33" s="125"/>
      <c r="R33" s="104"/>
    </row>
    <row r="34" spans="1:18">
      <c r="A34" s="101" t="s">
        <v>149</v>
      </c>
      <c r="B34" s="124">
        <v>26422.772000000001</v>
      </c>
      <c r="C34" s="125">
        <v>1704.5720000000001</v>
      </c>
      <c r="D34" s="126">
        <f t="shared" si="0"/>
        <v>-24718.2</v>
      </c>
      <c r="E34" s="124">
        <v>126903.64309430002</v>
      </c>
      <c r="F34" s="125">
        <v>152301.37706129998</v>
      </c>
      <c r="G34" s="126">
        <f t="shared" si="1"/>
        <v>25397.733966999964</v>
      </c>
      <c r="H34" s="124">
        <v>530.07157999999993</v>
      </c>
      <c r="I34" s="125">
        <v>570.04080999999996</v>
      </c>
      <c r="J34" s="127">
        <f t="shared" si="2"/>
        <v>3.4390567997288742E-2</v>
      </c>
      <c r="K34" s="124">
        <v>5078.5451699999994</v>
      </c>
      <c r="L34" s="126">
        <v>5593.7659999999996</v>
      </c>
      <c r="M34" s="124">
        <f t="shared" si="3"/>
        <v>-850.07293787058256</v>
      </c>
      <c r="N34" s="125">
        <f t="shared" si="4"/>
        <v>1523.8640380199977</v>
      </c>
      <c r="O34" s="126">
        <f t="shared" si="5"/>
        <v>700</v>
      </c>
      <c r="P34" s="125"/>
      <c r="Q34" s="125"/>
      <c r="R34" s="104"/>
    </row>
    <row r="35" spans="1:18">
      <c r="A35" s="101" t="s">
        <v>151</v>
      </c>
      <c r="B35" s="124">
        <v>13769</v>
      </c>
      <c r="C35" s="125">
        <v>975</v>
      </c>
      <c r="D35" s="126">
        <f t="shared" si="0"/>
        <v>-12794</v>
      </c>
      <c r="E35" s="124">
        <v>29268</v>
      </c>
      <c r="F35" s="125">
        <v>42570</v>
      </c>
      <c r="G35" s="126">
        <f t="shared" si="1"/>
        <v>13302</v>
      </c>
      <c r="H35" s="124">
        <v>244</v>
      </c>
      <c r="I35" s="125">
        <v>254</v>
      </c>
      <c r="J35" s="127">
        <f t="shared" si="2"/>
        <v>3.0378801240882727E-2</v>
      </c>
      <c r="K35" s="124">
        <v>314</v>
      </c>
      <c r="L35" s="126">
        <v>382</v>
      </c>
      <c r="M35" s="124">
        <f t="shared" si="3"/>
        <v>-388.66638307585362</v>
      </c>
      <c r="N35" s="125">
        <f t="shared" si="4"/>
        <v>798.12</v>
      </c>
      <c r="O35" s="126">
        <f t="shared" si="5"/>
        <v>400</v>
      </c>
      <c r="P35" s="125"/>
      <c r="Q35" s="125"/>
      <c r="R35" s="104"/>
    </row>
    <row r="36" spans="1:18">
      <c r="A36" s="101" t="s">
        <v>152</v>
      </c>
      <c r="B36" s="124">
        <v>69550.922959999996</v>
      </c>
      <c r="C36" s="125">
        <v>3971.5166099999997</v>
      </c>
      <c r="D36" s="126">
        <f t="shared" si="0"/>
        <v>-65579.40634999999</v>
      </c>
      <c r="E36" s="124">
        <v>73791.094150000019</v>
      </c>
      <c r="F36" s="125">
        <v>173527.05881999995</v>
      </c>
      <c r="G36" s="126">
        <f t="shared" si="1"/>
        <v>99735.964669999928</v>
      </c>
      <c r="H36" s="124">
        <v>2312.6298700000002</v>
      </c>
      <c r="I36" s="125">
        <v>2471.18714</v>
      </c>
      <c r="J36" s="127">
        <f t="shared" si="2"/>
        <v>5.7001520322763934E-2</v>
      </c>
      <c r="K36" s="124">
        <v>3380.12</v>
      </c>
      <c r="L36" s="126">
        <v>3863.12</v>
      </c>
      <c r="M36" s="124">
        <f t="shared" si="3"/>
        <v>-3738.1258638143186</v>
      </c>
      <c r="N36" s="125">
        <f t="shared" si="4"/>
        <v>5984.1578801999958</v>
      </c>
      <c r="O36" s="126">
        <f t="shared" si="5"/>
        <v>2200</v>
      </c>
      <c r="P36" s="125"/>
      <c r="Q36" s="125"/>
      <c r="R36" s="104"/>
    </row>
    <row r="37" spans="1:18">
      <c r="A37" s="101" t="s">
        <v>154</v>
      </c>
      <c r="B37" s="124">
        <v>15711</v>
      </c>
      <c r="C37" s="125">
        <v>882</v>
      </c>
      <c r="D37" s="126">
        <f t="shared" si="0"/>
        <v>-14829</v>
      </c>
      <c r="E37" s="124">
        <v>26111</v>
      </c>
      <c r="F37" s="125">
        <v>40845</v>
      </c>
      <c r="G37" s="126">
        <f t="shared" si="1"/>
        <v>14734</v>
      </c>
      <c r="H37" s="124">
        <v>395</v>
      </c>
      <c r="I37" s="125">
        <v>424</v>
      </c>
      <c r="J37" s="127">
        <f t="shared" si="2"/>
        <v>4.3099920892550256E-2</v>
      </c>
      <c r="K37" s="124">
        <v>1216</v>
      </c>
      <c r="L37" s="126">
        <v>1337</v>
      </c>
      <c r="M37" s="124">
        <f t="shared" si="3"/>
        <v>-639.12872691562779</v>
      </c>
      <c r="N37" s="125">
        <f t="shared" si="4"/>
        <v>884.04</v>
      </c>
      <c r="O37" s="126">
        <f t="shared" si="5"/>
        <v>200</v>
      </c>
      <c r="P37" s="125"/>
      <c r="Q37" s="125"/>
      <c r="R37" s="104"/>
    </row>
    <row r="38" spans="1:18">
      <c r="A38" s="101" t="s">
        <v>155</v>
      </c>
      <c r="B38" s="124">
        <v>74000</v>
      </c>
      <c r="C38" s="125">
        <v>0</v>
      </c>
      <c r="D38" s="126">
        <f t="shared" si="0"/>
        <v>-74000</v>
      </c>
      <c r="E38" s="124">
        <v>76288</v>
      </c>
      <c r="F38" s="125">
        <v>150338</v>
      </c>
      <c r="G38" s="126">
        <f t="shared" si="1"/>
        <v>74050</v>
      </c>
      <c r="H38" s="124">
        <v>1368</v>
      </c>
      <c r="I38" s="125">
        <v>1457</v>
      </c>
      <c r="J38" s="127">
        <f t="shared" si="2"/>
        <v>3.1691119691119686E-2</v>
      </c>
      <c r="K38" s="124">
        <v>2729</v>
      </c>
      <c r="L38" s="126">
        <v>3120</v>
      </c>
      <c r="M38" s="124">
        <f t="shared" si="3"/>
        <v>-2345.1428571428569</v>
      </c>
      <c r="N38" s="125">
        <f t="shared" si="4"/>
        <v>4443</v>
      </c>
      <c r="O38" s="126">
        <f t="shared" si="5"/>
        <v>2100</v>
      </c>
      <c r="P38" s="125"/>
      <c r="Q38" s="125"/>
      <c r="R38" s="104"/>
    </row>
    <row r="39" spans="1:18">
      <c r="A39" s="101" t="s">
        <v>156</v>
      </c>
      <c r="B39" s="124">
        <v>212079.01235</v>
      </c>
      <c r="C39" s="125">
        <v>327.60731999999996</v>
      </c>
      <c r="D39" s="126">
        <f t="shared" si="0"/>
        <v>-211751.40502999999</v>
      </c>
      <c r="E39" s="124">
        <v>241516.85889</v>
      </c>
      <c r="F39" s="125">
        <v>456904.51256</v>
      </c>
      <c r="G39" s="126">
        <f t="shared" si="1"/>
        <v>215387.65367</v>
      </c>
      <c r="H39" s="124">
        <v>4682.8459400000011</v>
      </c>
      <c r="I39" s="125">
        <v>4983.4165100000009</v>
      </c>
      <c r="J39" s="127">
        <f t="shared" si="2"/>
        <v>3.7852571115780463E-2</v>
      </c>
      <c r="K39" s="124">
        <v>9490.0729999999985</v>
      </c>
      <c r="L39" s="126">
        <v>10472.472999999998</v>
      </c>
      <c r="M39" s="124">
        <f t="shared" si="3"/>
        <v>-8015.3351177645072</v>
      </c>
      <c r="N39" s="125">
        <f t="shared" si="4"/>
        <v>12923.2592202</v>
      </c>
      <c r="O39" s="126">
        <f t="shared" si="5"/>
        <v>4900</v>
      </c>
      <c r="P39" s="125"/>
      <c r="Q39" s="125"/>
      <c r="R39" s="104"/>
    </row>
    <row r="40" spans="1:18">
      <c r="A40" s="101" t="s">
        <v>157</v>
      </c>
      <c r="B40" s="124">
        <v>19760</v>
      </c>
      <c r="C40" s="125">
        <v>254</v>
      </c>
      <c r="D40" s="126">
        <f t="shared" si="0"/>
        <v>-19506</v>
      </c>
      <c r="E40" s="124">
        <v>5581.6920800000007</v>
      </c>
      <c r="F40" s="125">
        <v>31399.316610000002</v>
      </c>
      <c r="G40" s="126">
        <f t="shared" si="1"/>
        <v>25817.624530000001</v>
      </c>
      <c r="H40" s="124">
        <v>531.08605</v>
      </c>
      <c r="I40" s="125">
        <v>568.91810999999996</v>
      </c>
      <c r="J40" s="127">
        <f t="shared" si="2"/>
        <v>4.6074556101792945E-2</v>
      </c>
      <c r="K40" s="124">
        <v>326.66669000000002</v>
      </c>
      <c r="L40" s="126">
        <v>373.33336000000003</v>
      </c>
      <c r="M40" s="124">
        <f t="shared" si="3"/>
        <v>-898.73029132157319</v>
      </c>
      <c r="N40" s="125">
        <f t="shared" si="4"/>
        <v>1549.0574718</v>
      </c>
      <c r="O40" s="126">
        <f t="shared" si="5"/>
        <v>700</v>
      </c>
      <c r="P40" s="125"/>
      <c r="Q40" s="125"/>
      <c r="R40" s="104"/>
    </row>
    <row r="41" spans="1:18">
      <c r="A41" s="101" t="s">
        <v>158</v>
      </c>
      <c r="B41" s="124">
        <v>251445</v>
      </c>
      <c r="C41" s="125">
        <v>427</v>
      </c>
      <c r="D41" s="126">
        <f t="shared" si="0"/>
        <v>-251018</v>
      </c>
      <c r="E41" s="124">
        <v>336717</v>
      </c>
      <c r="F41" s="125">
        <v>616439</v>
      </c>
      <c r="G41" s="126">
        <f t="shared" si="1"/>
        <v>279722</v>
      </c>
      <c r="H41" s="124">
        <v>6133</v>
      </c>
      <c r="I41" s="125">
        <v>6532</v>
      </c>
      <c r="J41" s="127">
        <f t="shared" si="2"/>
        <v>4.1813176979913241E-2</v>
      </c>
      <c r="K41" s="124">
        <v>13439</v>
      </c>
      <c r="L41" s="126">
        <v>15387</v>
      </c>
      <c r="M41" s="124">
        <f t="shared" si="3"/>
        <v>-10495.860059143863</v>
      </c>
      <c r="N41" s="125">
        <f t="shared" si="4"/>
        <v>16783.32</v>
      </c>
      <c r="O41" s="126">
        <f t="shared" si="5"/>
        <v>6300</v>
      </c>
      <c r="P41" s="125"/>
      <c r="Q41" s="125"/>
      <c r="R41" s="104"/>
    </row>
    <row r="42" spans="1:18">
      <c r="A42" s="101" t="s">
        <v>159</v>
      </c>
      <c r="B42" s="124">
        <v>10945</v>
      </c>
      <c r="C42" s="125">
        <v>0</v>
      </c>
      <c r="D42" s="126">
        <f t="shared" si="0"/>
        <v>-10945</v>
      </c>
      <c r="E42" s="124">
        <v>11896</v>
      </c>
      <c r="F42" s="125">
        <v>26475</v>
      </c>
      <c r="G42" s="126">
        <f t="shared" si="1"/>
        <v>14579</v>
      </c>
      <c r="H42" s="124">
        <v>320</v>
      </c>
      <c r="I42" s="125">
        <v>343</v>
      </c>
      <c r="J42" s="127">
        <f t="shared" si="2"/>
        <v>5.0120733537818964E-2</v>
      </c>
      <c r="K42" s="124">
        <v>471</v>
      </c>
      <c r="L42" s="126">
        <v>542</v>
      </c>
      <c r="M42" s="124">
        <f t="shared" si="3"/>
        <v>-548.57142857142856</v>
      </c>
      <c r="N42" s="125">
        <f t="shared" si="4"/>
        <v>874.74</v>
      </c>
      <c r="O42" s="126">
        <f t="shared" si="5"/>
        <v>300</v>
      </c>
      <c r="P42" s="125"/>
      <c r="Q42" s="125"/>
      <c r="R42" s="104"/>
    </row>
    <row r="43" spans="1:18">
      <c r="A43" s="102" t="s">
        <v>160</v>
      </c>
      <c r="B43" s="128">
        <v>37147</v>
      </c>
      <c r="C43" s="129">
        <v>413</v>
      </c>
      <c r="D43" s="130">
        <f t="shared" si="0"/>
        <v>-36734</v>
      </c>
      <c r="E43" s="128">
        <v>36859</v>
      </c>
      <c r="F43" s="129">
        <v>74431</v>
      </c>
      <c r="G43" s="130">
        <f t="shared" si="1"/>
        <v>37572</v>
      </c>
      <c r="H43" s="128">
        <v>908</v>
      </c>
      <c r="I43" s="129">
        <v>967</v>
      </c>
      <c r="J43" s="131">
        <f t="shared" si="2"/>
        <v>4.1903018509473942E-2</v>
      </c>
      <c r="K43" s="128">
        <v>835</v>
      </c>
      <c r="L43" s="130">
        <v>893</v>
      </c>
      <c r="M43" s="124">
        <f t="shared" si="3"/>
        <v>-1539.2654819270158</v>
      </c>
      <c r="N43" s="125">
        <f t="shared" si="4"/>
        <v>2254.3199999999997</v>
      </c>
      <c r="O43" s="126">
        <f t="shared" si="5"/>
        <v>700</v>
      </c>
      <c r="P43" s="125"/>
      <c r="Q43" s="125"/>
      <c r="R43" s="104"/>
    </row>
    <row r="44" spans="1:18">
      <c r="A44" s="132" t="s">
        <v>226</v>
      </c>
      <c r="B44" s="128">
        <v>2110743.3615800003</v>
      </c>
      <c r="C44" s="129">
        <v>22292.602099999996</v>
      </c>
      <c r="D44" s="130">
        <f>C44-B44</f>
        <v>-2088450.7594800002</v>
      </c>
      <c r="E44" s="128">
        <v>2898462.3670543004</v>
      </c>
      <c r="F44" s="129">
        <v>5321835.1376713011</v>
      </c>
      <c r="G44" s="130">
        <f>F44-E44</f>
        <v>2423372.7706170008</v>
      </c>
      <c r="H44" s="128">
        <v>54873.82892</v>
      </c>
      <c r="I44" s="129">
        <v>58243.43735</v>
      </c>
      <c r="J44" s="131">
        <f t="shared" si="2"/>
        <v>4.4566962861509823E-2</v>
      </c>
      <c r="K44" s="128">
        <v>108015.13677</v>
      </c>
      <c r="L44" s="130">
        <v>122277.23599</v>
      </c>
      <c r="M44" s="133">
        <f t="shared" si="3"/>
        <v>-93075.907435837158</v>
      </c>
      <c r="N44" s="134">
        <f t="shared" si="4"/>
        <v>145402.36623702003</v>
      </c>
      <c r="O44" s="135">
        <f>SUM(O24:O43)</f>
        <v>52400</v>
      </c>
      <c r="P44" s="125"/>
      <c r="Q44" s="125"/>
      <c r="R44" s="104"/>
    </row>
    <row r="45" spans="1:18">
      <c r="M45" t="s">
        <v>227</v>
      </c>
      <c r="P45" s="9"/>
      <c r="Q45" s="9"/>
      <c r="R45" s="9"/>
    </row>
  </sheetData>
  <mergeCells count="7">
    <mergeCell ref="S9:S11"/>
    <mergeCell ref="M21:N21"/>
    <mergeCell ref="B22:D22"/>
    <mergeCell ref="E22:G22"/>
    <mergeCell ref="H22:J22"/>
    <mergeCell ref="K22:L22"/>
    <mergeCell ref="M22:O22"/>
  </mergeCells>
  <hyperlinks>
    <hyperlink ref="I2" r:id="rId1"/>
    <hyperlink ref="E21"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26</vt:i4>
      </vt:variant>
    </vt:vector>
  </HeadingPairs>
  <TitlesOfParts>
    <vt:vector size="29" baseType="lpstr">
      <vt:lpstr>Health Vote 2017-18 pre-Budget</vt:lpstr>
      <vt:lpstr>DHB Stats</vt:lpstr>
      <vt:lpstr>Notes 2017-18 pre-Budget</vt:lpstr>
      <vt:lpstr>'Health Vote 2017-18 pre-Budget'!_CPI17</vt:lpstr>
      <vt:lpstr>'Health Vote 2017-18 pre-Budget'!AllIndustriesWageIncr17</vt:lpstr>
      <vt:lpstr>'Health Vote 2017-18 pre-Budget'!BirthGrowth17</vt:lpstr>
      <vt:lpstr>'Health Vote 2017-18 pre-Budget'!CapitalGoodsProportion17</vt:lpstr>
      <vt:lpstr>'Health Vote 2017-18 pre-Budget'!CapitalPI17</vt:lpstr>
      <vt:lpstr>'Health Vote 2017-18 pre-Budget'!ChildPopGrowth17</vt:lpstr>
      <vt:lpstr>'Health Vote 2017-18 pre-Budget'!DHBFundedProportion17</vt:lpstr>
      <vt:lpstr>'Health Vote 2017-18 pre-Budget'!DHBFundedWageIncreases17</vt:lpstr>
      <vt:lpstr>'Health Vote 2017-18 pre-Budget'!DHBProviderProportion17</vt:lpstr>
      <vt:lpstr>'Health Vote 2017-18 pre-Budget'!DHBProviderWageIncrease17</vt:lpstr>
      <vt:lpstr>'Health Vote 2017-18 pre-Budget'!HighMinWageSectorWageIncrease17</vt:lpstr>
      <vt:lpstr>'Health Vote 2017-18 pre-Budget'!LabourProportion17</vt:lpstr>
      <vt:lpstr>'Health Vote 2017-18 pre-Budget'!MedicalProportion17</vt:lpstr>
      <vt:lpstr>'Health Vote 2017-18 pre-Budget'!MedicalSalaryIncreases17</vt:lpstr>
      <vt:lpstr>'Health Vote 2017-18 pre-Budget'!NDGandProdSwitch17</vt:lpstr>
      <vt:lpstr>'Health Vote 2017-18 pre-Budget'!NonDemographicGrowth17</vt:lpstr>
      <vt:lpstr>'Health Vote 2017-18 pre-Budget'!NonLabourGeneralCostIncreases17</vt:lpstr>
      <vt:lpstr>'Health Vote 2017-18 pre-Budget'!NonLabourHealthServicesCostIncrease17</vt:lpstr>
      <vt:lpstr>'Health Vote 2017-18 pre-Budget'!NonLabourProportion17</vt:lpstr>
      <vt:lpstr>'Health Vote 2017-18 pre-Budget'!NursingProportion17</vt:lpstr>
      <vt:lpstr>'Health Vote 2017-18 pre-Budget'!NursingSalaryIncrease17</vt:lpstr>
      <vt:lpstr>'Health Vote 2017-18 pre-Budget'!OtherDHBWageIncreases17</vt:lpstr>
      <vt:lpstr>'Health Vote 2017-18 pre-Budget'!OtherWageProportion17</vt:lpstr>
      <vt:lpstr>OtherWagesIncreases17</vt:lpstr>
      <vt:lpstr>'Health Vote 2017-18 pre-Budget'!PopulationGrowth17</vt:lpstr>
      <vt:lpstr>'Health Vote 2017-18 pre-Budget'!ProductivityGrowth17</vt:lpstr>
    </vt:vector>
  </TitlesOfParts>
  <Company>NZCTU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Rosenberg</dc:creator>
  <cp:lastModifiedBy>Bill Rosenberg</cp:lastModifiedBy>
  <dcterms:created xsi:type="dcterms:W3CDTF">2017-05-19T02:26:15Z</dcterms:created>
  <dcterms:modified xsi:type="dcterms:W3CDTF">2017-05-19T03:32:04Z</dcterms:modified>
</cp:coreProperties>
</file>